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72" yWindow="1440" windowWidth="15108" windowHeight="12768" activeTab="7"/>
  </bookViews>
  <sheets>
    <sheet name="Instruktioner" sheetId="1" r:id="rId1"/>
    <sheet name="Start" sheetId="2" r:id="rId2"/>
    <sheet name=" Bränsleanalys" sheetId="3" r:id="rId3"/>
    <sheet name="Askanalys" sheetId="4" r:id="rId4"/>
    <sheet name="Värmevärden" sheetId="5" r:id="rId5"/>
    <sheet name="Luft- och rökgas" sheetId="6" r:id="rId6"/>
    <sheet name="Emissioner" sheetId="7" r:id="rId7"/>
    <sheet name="Nyckeltal " sheetId="8" r:id="rId8"/>
  </sheets>
  <definedNames>
    <definedName name="_xlnm.Print_Area" localSheetId="3">'Askanalys'!$A$1:$H$44,'Askanalys'!$J$18:$Q$44,'Askanalys'!$A$46:$H$74,'Askanalys'!$J$48:$Q$74,'Askanalys'!$A$76:$H$93,'Askanalys'!$J$76:$Q$93,'Askanalys'!$A$96:$H$124,'Askanalys'!$J$97:$Q$124,'Askanalys'!$A$126:$H$154,'Askanalys'!$J$128:$Q$154,'Askanalys'!$A$156:$H$174,'Askanalys'!$J$158:$Q$173</definedName>
    <definedName name="_xlnm.Print_Area" localSheetId="6">'Emissioner'!$A$1:$G$25,'Emissioner'!$A$27:$G$70,'Emissioner'!$A$72:$G$97,'Emissioner'!$A$100:$G$132</definedName>
    <definedName name="_xlnm.Print_Area" localSheetId="0">'Instruktioner'!$A$1:$A$101,'Instruktioner'!$A$103:$A$173</definedName>
    <definedName name="_xlnm.Print_Area" localSheetId="5">'Luft- och rökgas'!$A$1:$G$45,'Luft- och rökgas'!$A$47:$K$114,'Luft- och rökgas'!$A$117:$K$142,'Luft- och rökgas'!$A$144:$K$164</definedName>
    <definedName name="_xlnm.Print_Area" localSheetId="7">'Nyckeltal '!$A$1:$K$45,'Nyckeltal '!$A$46:$L$96</definedName>
    <definedName name="_xlnm.Print_Area" localSheetId="4">'Värmevärden'!$A$1:$K$41,'Värmevärden'!$A$44:$K$78,'Värmevärden'!$M$56:$W$78,'Värmevärden'!$A$81:$L$110</definedName>
  </definedNames>
  <calcPr fullCalcOnLoad="1" iterate="1" iterateCount="50" iterateDelta="0.001"/>
</workbook>
</file>

<file path=xl/sharedStrings.xml><?xml version="1.0" encoding="utf-8"?>
<sst xmlns="http://schemas.openxmlformats.org/spreadsheetml/2006/main" count="2165" uniqueCount="469">
  <si>
    <t>Bränsleanalys</t>
  </si>
  <si>
    <t>C (kol)</t>
  </si>
  <si>
    <t>H (väte)</t>
  </si>
  <si>
    <t>S (svavel)</t>
  </si>
  <si>
    <t>N (kväve)</t>
  </si>
  <si>
    <t>Cl (klor)</t>
  </si>
  <si>
    <t>Beräknat</t>
  </si>
  <si>
    <t>Fukt</t>
  </si>
  <si>
    <t>Aska</t>
  </si>
  <si>
    <t>Bränsleflöde</t>
  </si>
  <si>
    <t>Luftfaktor</t>
  </si>
  <si>
    <t>Fuktigt</t>
  </si>
  <si>
    <t>Torrt askfritt</t>
  </si>
  <si>
    <t>Inmatning</t>
  </si>
  <si>
    <t>Verkligt luftbehov</t>
  </si>
  <si>
    <t>Verklig rökgasmängd torr</t>
  </si>
  <si>
    <t>Teoretisk rökgasmängd torr</t>
  </si>
  <si>
    <t>Teoretisk luftmängd torr</t>
  </si>
  <si>
    <t>Teoretisk rökgasmängd fuktig</t>
  </si>
  <si>
    <t>Verklig rökgasmängd fuktig</t>
  </si>
  <si>
    <t>O (syre)</t>
  </si>
  <si>
    <t>[ton/h]</t>
  </si>
  <si>
    <t>[vol-%]</t>
  </si>
  <si>
    <t>[-]</t>
  </si>
  <si>
    <t>Verkligt rökgasflöde torrt</t>
  </si>
  <si>
    <t>Verkligt rökgasflöde fuktigt</t>
  </si>
  <si>
    <t>Värmevärden</t>
  </si>
  <si>
    <t>MJ/kg</t>
  </si>
  <si>
    <t>Hcal</t>
  </si>
  <si>
    <t>[MJ/kg]</t>
  </si>
  <si>
    <t>Heff</t>
  </si>
  <si>
    <t>Torrt</t>
  </si>
  <si>
    <t xml:space="preserve">Torrt </t>
  </si>
  <si>
    <t>[MWh/ton]</t>
  </si>
  <si>
    <t>Heff = det effektiva [undre] värmevärdet</t>
  </si>
  <si>
    <t>Fuktigt (as received)</t>
  </si>
  <si>
    <t>[vikt-% av TS]</t>
  </si>
  <si>
    <t>[vikt-%]</t>
  </si>
  <si>
    <t>Hcal = det kalorimetriska (övre) värmevärdet</t>
  </si>
  <si>
    <t>Det effektiva värmevärdet är lika med det övre värmevärdet minskat med vattnets förångningsvärme</t>
  </si>
  <si>
    <t>Blåskuggat värde är givet från inmatningen</t>
  </si>
  <si>
    <t>[vikt-% av torrt prov]</t>
  </si>
  <si>
    <t>1. Mata in fukthalt och askhalt.</t>
  </si>
  <si>
    <t>CaO</t>
  </si>
  <si>
    <t>MgO</t>
  </si>
  <si>
    <t>BaO</t>
  </si>
  <si>
    <t>Askanalys</t>
  </si>
  <si>
    <t>vikt-% av aska</t>
  </si>
  <si>
    <t>Al (aluminium)</t>
  </si>
  <si>
    <t>Ba (barium)</t>
  </si>
  <si>
    <t>Ca (kalcium)</t>
  </si>
  <si>
    <t>Fe (järn)</t>
  </si>
  <si>
    <t>K (kalium)</t>
  </si>
  <si>
    <t>Mg (magnesium)</t>
  </si>
  <si>
    <t>Mn (mangan)</t>
  </si>
  <si>
    <t>Na (natrium)</t>
  </si>
  <si>
    <t>P (fosfor)</t>
  </si>
  <si>
    <t>Si (kisel)</t>
  </si>
  <si>
    <t>Ti (titan)</t>
  </si>
  <si>
    <t>mg/kg aska</t>
  </si>
  <si>
    <t>Luft- och rökgasflöden</t>
  </si>
  <si>
    <t>Verkligt luftflöde</t>
  </si>
  <si>
    <t>Summa</t>
  </si>
  <si>
    <t>[kmol/kg bränsle]</t>
  </si>
  <si>
    <t>[vol-% våt gas]</t>
  </si>
  <si>
    <t>[vol-% torr gas]</t>
  </si>
  <si>
    <t>Oxidform</t>
  </si>
  <si>
    <t>Milnes metod* används för att beräkna det kalorimetriska värmevärdet på torrt prov.</t>
  </si>
  <si>
    <t>* referens</t>
  </si>
  <si>
    <t>ppm</t>
  </si>
  <si>
    <t>Ämne</t>
  </si>
  <si>
    <t>Kolmonoxid CO</t>
  </si>
  <si>
    <r>
      <t>Kvävedioxid NO</t>
    </r>
    <r>
      <rPr>
        <vertAlign val="subscript"/>
        <sz val="10"/>
        <rFont val="Bookman Old Style"/>
        <family val="1"/>
      </rPr>
      <t>2</t>
    </r>
  </si>
  <si>
    <r>
      <t>Metan CH</t>
    </r>
    <r>
      <rPr>
        <vertAlign val="subscript"/>
        <sz val="10"/>
        <rFont val="Bookman Old Style"/>
        <family val="1"/>
      </rPr>
      <t>4</t>
    </r>
  </si>
  <si>
    <r>
      <t>Svaveldioxid SO</t>
    </r>
    <r>
      <rPr>
        <vertAlign val="subscript"/>
        <sz val="10"/>
        <rFont val="Bookman Old Style"/>
        <family val="1"/>
      </rPr>
      <t>2</t>
    </r>
  </si>
  <si>
    <t>Emissioner</t>
  </si>
  <si>
    <r>
      <t>Syre O</t>
    </r>
    <r>
      <rPr>
        <vertAlign val="subscript"/>
        <sz val="10"/>
        <rFont val="Bookman Old Style"/>
        <family val="1"/>
      </rPr>
      <t>2</t>
    </r>
  </si>
  <si>
    <t>Väteklorid HCl</t>
  </si>
  <si>
    <r>
      <t>Koldioxid CO</t>
    </r>
    <r>
      <rPr>
        <vertAlign val="subscript"/>
        <sz val="10"/>
        <rFont val="Bookman Old Style"/>
        <family val="1"/>
      </rPr>
      <t>2</t>
    </r>
  </si>
  <si>
    <r>
      <t>mg/Nm</t>
    </r>
    <r>
      <rPr>
        <b/>
        <vertAlign val="superscript"/>
        <sz val="10"/>
        <rFont val="Bookman Old Style"/>
        <family val="1"/>
      </rPr>
      <t>3</t>
    </r>
  </si>
  <si>
    <t>mg/Nm3</t>
  </si>
  <si>
    <r>
      <t>Dikväveoxid N</t>
    </r>
    <r>
      <rPr>
        <vertAlign val="subscript"/>
        <sz val="10"/>
        <rFont val="Bookman Old Style"/>
        <family val="1"/>
      </rPr>
      <t>2</t>
    </r>
    <r>
      <rPr>
        <sz val="10"/>
        <rFont val="Bookman Old Style"/>
        <family val="1"/>
      </rPr>
      <t>O</t>
    </r>
  </si>
  <si>
    <r>
      <t>Ammoniak NH</t>
    </r>
    <r>
      <rPr>
        <vertAlign val="subscript"/>
        <sz val="10"/>
        <rFont val="Bookman Old Style"/>
        <family val="1"/>
      </rPr>
      <t>3</t>
    </r>
  </si>
  <si>
    <r>
      <t>Vatten H</t>
    </r>
    <r>
      <rPr>
        <vertAlign val="subscript"/>
        <sz val="10"/>
        <rFont val="Bookman Old Style"/>
        <family val="1"/>
      </rPr>
      <t>2</t>
    </r>
    <r>
      <rPr>
        <sz val="10"/>
        <rFont val="Bookman Old Style"/>
        <family val="1"/>
      </rPr>
      <t>O</t>
    </r>
  </si>
  <si>
    <t>Enhet</t>
  </si>
  <si>
    <t>mg/kg ts</t>
  </si>
  <si>
    <t>vikt-% av ts</t>
  </si>
  <si>
    <t>Rökgassammansättning, teoretisk</t>
  </si>
  <si>
    <t>Torr gas</t>
  </si>
  <si>
    <t>Våt gas</t>
  </si>
  <si>
    <r>
      <t>CO</t>
    </r>
    <r>
      <rPr>
        <vertAlign val="subscript"/>
        <sz val="10"/>
        <rFont val="Bookman Old Style"/>
        <family val="1"/>
      </rPr>
      <t>2</t>
    </r>
  </si>
  <si>
    <r>
      <t>H</t>
    </r>
    <r>
      <rPr>
        <vertAlign val="subscript"/>
        <sz val="10"/>
        <rFont val="Bookman Old Style"/>
        <family val="1"/>
      </rPr>
      <t>2</t>
    </r>
    <r>
      <rPr>
        <sz val="10"/>
        <rFont val="Bookman Old Style"/>
        <family val="1"/>
      </rPr>
      <t>O</t>
    </r>
  </si>
  <si>
    <r>
      <t>SO</t>
    </r>
    <r>
      <rPr>
        <vertAlign val="subscript"/>
        <sz val="10"/>
        <rFont val="Bookman Old Style"/>
        <family val="1"/>
      </rPr>
      <t>2</t>
    </r>
  </si>
  <si>
    <r>
      <t>N</t>
    </r>
    <r>
      <rPr>
        <vertAlign val="subscript"/>
        <sz val="10"/>
        <rFont val="Bookman Old Style"/>
        <family val="1"/>
      </rPr>
      <t>2</t>
    </r>
  </si>
  <si>
    <r>
      <t>O</t>
    </r>
    <r>
      <rPr>
        <vertAlign val="subscript"/>
        <sz val="10"/>
        <rFont val="Bookman Old Style"/>
        <family val="1"/>
      </rPr>
      <t>2</t>
    </r>
  </si>
  <si>
    <t>Summa torr gas</t>
  </si>
  <si>
    <t>Summa våt gas</t>
  </si>
  <si>
    <r>
      <t>O</t>
    </r>
    <r>
      <rPr>
        <vertAlign val="subscript"/>
        <sz val="10"/>
        <rFont val="Bookman Old Style"/>
        <family val="1"/>
      </rPr>
      <t>2</t>
    </r>
    <r>
      <rPr>
        <sz val="10"/>
        <rFont val="Bookman Old Style"/>
        <family val="1"/>
      </rPr>
      <t>-halt i torr rökgas</t>
    </r>
  </si>
  <si>
    <r>
      <t>[Nm</t>
    </r>
    <r>
      <rPr>
        <vertAlign val="superscript"/>
        <sz val="10"/>
        <rFont val="Bookman Old Style"/>
        <family val="1"/>
      </rPr>
      <t>3</t>
    </r>
    <r>
      <rPr>
        <sz val="10"/>
        <rFont val="Bookman Old Style"/>
        <family val="1"/>
      </rPr>
      <t>/kg bränsle]</t>
    </r>
  </si>
  <si>
    <r>
      <t>[Nm</t>
    </r>
    <r>
      <rPr>
        <vertAlign val="superscript"/>
        <sz val="10"/>
        <rFont val="Bookman Old Style"/>
        <family val="1"/>
      </rPr>
      <t>3</t>
    </r>
    <r>
      <rPr>
        <sz val="10"/>
        <rFont val="Bookman Old Style"/>
        <family val="1"/>
      </rPr>
      <t>/h]</t>
    </r>
  </si>
  <si>
    <t>mg/MJ</t>
  </si>
  <si>
    <t>Torrt prov</t>
  </si>
  <si>
    <t>e. Hcal, torrt askfritt prov</t>
  </si>
  <si>
    <t>f. Heff, torrt askfritt prov</t>
  </si>
  <si>
    <t>Givet:</t>
  </si>
  <si>
    <t>[kg/kg bränsle]</t>
  </si>
  <si>
    <t>[vikt-% torr gas]</t>
  </si>
  <si>
    <t>[vikt-% våt gas]</t>
  </si>
  <si>
    <t>kmol/kg bränsle</t>
  </si>
  <si>
    <t>Torr gas, vol-%</t>
  </si>
  <si>
    <t>Våt gas, vol-%</t>
  </si>
  <si>
    <t>Rökgassammansättning, verklig:</t>
  </si>
  <si>
    <t>kg/kg bränsle</t>
  </si>
  <si>
    <t>Torr gas, vikt-%</t>
  </si>
  <si>
    <t>Våt gas, vikt-%</t>
  </si>
  <si>
    <r>
      <t>O</t>
    </r>
    <r>
      <rPr>
        <vertAlign val="subscript"/>
        <sz val="10"/>
        <rFont val="Bookman Old Style"/>
        <family val="1"/>
      </rPr>
      <t>2</t>
    </r>
    <r>
      <rPr>
        <sz val="10"/>
        <rFont val="Bookman Old Style"/>
        <family val="1"/>
      </rPr>
      <t>-halt i våt rökgas</t>
    </r>
  </si>
  <si>
    <t xml:space="preserve">c. Luftfaktor </t>
  </si>
  <si>
    <t>[°C]</t>
  </si>
  <si>
    <r>
      <t>a. O</t>
    </r>
    <r>
      <rPr>
        <b/>
        <vertAlign val="subscript"/>
        <sz val="12"/>
        <color indexed="10"/>
        <rFont val="Verdana"/>
        <family val="2"/>
      </rPr>
      <t>2</t>
    </r>
    <r>
      <rPr>
        <b/>
        <sz val="12"/>
        <color indexed="10"/>
        <rFont val="Verdana"/>
        <family val="2"/>
      </rPr>
      <t>-halt i torr rökgas</t>
    </r>
  </si>
  <si>
    <t>[kg/h]</t>
  </si>
  <si>
    <t>Volymsflöde</t>
  </si>
  <si>
    <t>Massflöde</t>
  </si>
  <si>
    <t>Askhalt</t>
  </si>
  <si>
    <t>[vikt-% torrt prov]</t>
  </si>
  <si>
    <t>Heff, fuktigt</t>
  </si>
  <si>
    <t>Rökgasflöde, torrt</t>
  </si>
  <si>
    <t>As (arsenik)</t>
  </si>
  <si>
    <t>Cd (kadmium)</t>
  </si>
  <si>
    <t>Co (kobolt)</t>
  </si>
  <si>
    <t>Cr (krom)</t>
  </si>
  <si>
    <t>Cu (koppar)</t>
  </si>
  <si>
    <t>Hg (kvicksilver)</t>
  </si>
  <si>
    <t>Mo (molybden)</t>
  </si>
  <si>
    <t>Ni (nickel)</t>
  </si>
  <si>
    <t>Pb (bly)</t>
  </si>
  <si>
    <t>Sb (antimon)</t>
  </si>
  <si>
    <t>Tl (tallium)</t>
  </si>
  <si>
    <t>V (vanadin)</t>
  </si>
  <si>
    <t>Zn (zink)</t>
  </si>
  <si>
    <r>
      <t>P</t>
    </r>
    <r>
      <rPr>
        <vertAlign val="subscript"/>
        <sz val="10"/>
        <rFont val="Bookman Old Style"/>
        <family val="1"/>
      </rPr>
      <t>2</t>
    </r>
    <r>
      <rPr>
        <sz val="10"/>
        <rFont val="Bookman Old Style"/>
        <family val="1"/>
      </rPr>
      <t>O</t>
    </r>
    <r>
      <rPr>
        <vertAlign val="subscript"/>
        <sz val="10"/>
        <rFont val="Bookman Old Style"/>
        <family val="1"/>
      </rPr>
      <t>5</t>
    </r>
  </si>
  <si>
    <r>
      <t>SiO</t>
    </r>
    <r>
      <rPr>
        <vertAlign val="subscript"/>
        <sz val="10"/>
        <rFont val="Bookman Old Style"/>
        <family val="1"/>
      </rPr>
      <t>2</t>
    </r>
  </si>
  <si>
    <r>
      <t>Al</t>
    </r>
    <r>
      <rPr>
        <vertAlign val="subscript"/>
        <sz val="10"/>
        <rFont val="Bookman Old Style"/>
        <family val="1"/>
      </rPr>
      <t>2</t>
    </r>
    <r>
      <rPr>
        <sz val="10"/>
        <rFont val="Bookman Old Style"/>
        <family val="1"/>
      </rPr>
      <t>O</t>
    </r>
    <r>
      <rPr>
        <vertAlign val="subscript"/>
        <sz val="10"/>
        <rFont val="Bookman Old Style"/>
        <family val="1"/>
      </rPr>
      <t>3</t>
    </r>
  </si>
  <si>
    <r>
      <t>Fe</t>
    </r>
    <r>
      <rPr>
        <vertAlign val="subscript"/>
        <sz val="10"/>
        <rFont val="Bookman Old Style"/>
        <family val="1"/>
      </rPr>
      <t>2</t>
    </r>
    <r>
      <rPr>
        <sz val="10"/>
        <rFont val="Bookman Old Style"/>
        <family val="1"/>
      </rPr>
      <t>O</t>
    </r>
    <r>
      <rPr>
        <vertAlign val="subscript"/>
        <sz val="10"/>
        <rFont val="Bookman Old Style"/>
        <family val="1"/>
      </rPr>
      <t>3</t>
    </r>
  </si>
  <si>
    <r>
      <t>TiO</t>
    </r>
    <r>
      <rPr>
        <vertAlign val="subscript"/>
        <sz val="10"/>
        <rFont val="Bookman Old Style"/>
        <family val="1"/>
      </rPr>
      <t>2</t>
    </r>
  </si>
  <si>
    <r>
      <t>MnO</t>
    </r>
    <r>
      <rPr>
        <vertAlign val="subscript"/>
        <sz val="10"/>
        <rFont val="Bookman Old Style"/>
        <family val="1"/>
      </rPr>
      <t>2</t>
    </r>
  </si>
  <si>
    <r>
      <t>Na</t>
    </r>
    <r>
      <rPr>
        <vertAlign val="subscript"/>
        <sz val="10"/>
        <rFont val="Bookman Old Style"/>
        <family val="1"/>
      </rPr>
      <t>2</t>
    </r>
    <r>
      <rPr>
        <sz val="10"/>
        <rFont val="Bookman Old Style"/>
        <family val="1"/>
      </rPr>
      <t>O</t>
    </r>
  </si>
  <si>
    <r>
      <t>K</t>
    </r>
    <r>
      <rPr>
        <vertAlign val="subscript"/>
        <sz val="10"/>
        <rFont val="Bookman Old Style"/>
        <family val="1"/>
      </rPr>
      <t>2</t>
    </r>
    <r>
      <rPr>
        <sz val="10"/>
        <rFont val="Bookman Old Style"/>
        <family val="1"/>
      </rPr>
      <t>O</t>
    </r>
  </si>
  <si>
    <r>
      <t xml:space="preserve"> mg/Nm</t>
    </r>
    <r>
      <rPr>
        <b/>
        <vertAlign val="superscript"/>
        <sz val="10"/>
        <rFont val="Bookman Old Style"/>
        <family val="1"/>
      </rPr>
      <t>3</t>
    </r>
  </si>
  <si>
    <t>Omräkning av elementaranalys till olika enheter</t>
  </si>
  <si>
    <t>Röda värden ska matas in, svarta värden är beräknade!</t>
  </si>
  <si>
    <t>Omräkning mellan olika enheter samt från oxidform till vanlig form</t>
  </si>
  <si>
    <t>1. Mata in askanalysen i den enhet du har given så beräknas resten!</t>
  </si>
  <si>
    <t>Indata</t>
  </si>
  <si>
    <t>a. Fuktigt prov</t>
  </si>
  <si>
    <t>b. Torrt prov</t>
  </si>
  <si>
    <t>c. Torrt askfritt prov</t>
  </si>
  <si>
    <t>ppm, uppmätt</t>
  </si>
  <si>
    <t>ppm, standard</t>
  </si>
  <si>
    <r>
      <t xml:space="preserve"> mg/Nm</t>
    </r>
    <r>
      <rPr>
        <b/>
        <vertAlign val="superscript"/>
        <sz val="10"/>
        <rFont val="Bookman Old Style"/>
        <family val="1"/>
      </rPr>
      <t>3</t>
    </r>
    <r>
      <rPr>
        <b/>
        <sz val="10"/>
        <rFont val="Bookman Old Style"/>
        <family val="1"/>
      </rPr>
      <t>, uppmätt</t>
    </r>
  </si>
  <si>
    <r>
      <t xml:space="preserve"> mg/Nm</t>
    </r>
    <r>
      <rPr>
        <b/>
        <vertAlign val="superscript"/>
        <sz val="10"/>
        <rFont val="Bookman Old Style"/>
        <family val="1"/>
      </rPr>
      <t>3</t>
    </r>
    <r>
      <rPr>
        <b/>
        <sz val="10"/>
        <rFont val="Bookman Old Style"/>
        <family val="1"/>
      </rPr>
      <t>, standard</t>
    </r>
  </si>
  <si>
    <t>Väteflourid HF</t>
  </si>
  <si>
    <t>Syrehalt</t>
  </si>
  <si>
    <t>[vol-%, torr gas]</t>
  </si>
  <si>
    <t>För att kunna utföra dessa beräkningar måste du ha fyllt i följande värden under fliken "Luft- och rökgas":</t>
  </si>
  <si>
    <t>[MJ/kg bränsle]</t>
  </si>
  <si>
    <t>Kvävemonoxid NO*</t>
  </si>
  <si>
    <r>
      <t>* Anges som NO</t>
    </r>
    <r>
      <rPr>
        <vertAlign val="subscript"/>
        <sz val="10"/>
        <rFont val="Bookman Old Style"/>
        <family val="1"/>
      </rPr>
      <t>2</t>
    </r>
  </si>
  <si>
    <r>
      <t>Kväveoxider NOx (NO+ NO</t>
    </r>
    <r>
      <rPr>
        <vertAlign val="subscript"/>
        <sz val="10"/>
        <rFont val="Bookman Old Style"/>
        <family val="1"/>
      </rPr>
      <t>2</t>
    </r>
    <r>
      <rPr>
        <sz val="10"/>
        <rFont val="Bookman Old Style"/>
        <family val="1"/>
      </rPr>
      <t>)</t>
    </r>
  </si>
  <si>
    <r>
      <t>O</t>
    </r>
    <r>
      <rPr>
        <b/>
        <vertAlign val="subscript"/>
        <sz val="10"/>
        <rFont val="Bookman Old Style"/>
        <family val="1"/>
      </rPr>
      <t>2</t>
    </r>
    <r>
      <rPr>
        <b/>
        <sz val="10"/>
        <rFont val="Bookman Old Style"/>
        <family val="1"/>
      </rPr>
      <t xml:space="preserve"> i rökgaser %, uppmätt</t>
    </r>
  </si>
  <si>
    <r>
      <t>O</t>
    </r>
    <r>
      <rPr>
        <b/>
        <vertAlign val="subscript"/>
        <sz val="10"/>
        <rFont val="Bookman Old Style"/>
        <family val="1"/>
      </rPr>
      <t>2</t>
    </r>
    <r>
      <rPr>
        <b/>
        <sz val="10"/>
        <rFont val="Bookman Old Style"/>
        <family val="1"/>
      </rPr>
      <t xml:space="preserve"> i rökgaser %, standard</t>
    </r>
  </si>
  <si>
    <r>
      <t>O</t>
    </r>
    <r>
      <rPr>
        <vertAlign val="subscript"/>
        <sz val="10"/>
        <rFont val="Verdana"/>
        <family val="2"/>
      </rPr>
      <t>2</t>
    </r>
    <r>
      <rPr>
        <sz val="10"/>
        <rFont val="Verdana"/>
        <family val="2"/>
      </rPr>
      <t>-halt i torr rökgas (om du inte har denna halt använd kolumn 2b eller 2c för att ta fram den)</t>
    </r>
  </si>
  <si>
    <r>
      <t>b. O</t>
    </r>
    <r>
      <rPr>
        <b/>
        <vertAlign val="subscript"/>
        <sz val="12"/>
        <color indexed="10"/>
        <rFont val="Verdana"/>
        <family val="2"/>
      </rPr>
      <t>2</t>
    </r>
    <r>
      <rPr>
        <b/>
        <sz val="12"/>
        <color indexed="10"/>
        <rFont val="Verdana"/>
        <family val="2"/>
      </rPr>
      <t>-halt i våt rökgas</t>
    </r>
  </si>
  <si>
    <t>Oxidform anges/beräknas bara för huvudelement i askan</t>
  </si>
  <si>
    <t>ppm, våt</t>
  </si>
  <si>
    <t>ppm, torr</t>
  </si>
  <si>
    <t>Fukthalt</t>
  </si>
  <si>
    <t>mg/Nm3, våt</t>
  </si>
  <si>
    <t>mg/Nm3, torr</t>
  </si>
  <si>
    <t>[vol-%, våt gas]</t>
  </si>
  <si>
    <t>a. Hcal, fuktigt prov</t>
  </si>
  <si>
    <t>b. Heff, fuktigt prov</t>
  </si>
  <si>
    <t>c. Hcal, torrt prov</t>
  </si>
  <si>
    <t>d. Heff, torrt prov</t>
  </si>
  <si>
    <t>1. Mata in gashalterna i den enhet du har given.</t>
  </si>
  <si>
    <t>Beräkningarna i respektive kolumn nedan utförs oberoende av varandra.</t>
  </si>
  <si>
    <t>Under fliken Säkerhetsnivå, klicka i rutan "Normal" (eller "Medel").</t>
  </si>
  <si>
    <t>a. Ange analys i mg/kg torrt prov!</t>
  </si>
  <si>
    <t>b. Ange analys i vikt-% av torrt prov!</t>
  </si>
  <si>
    <t>c. Ange analys i oxidform, vikt-% av torrt prov!</t>
  </si>
  <si>
    <t>d. Ange analys i mg/kg aska!</t>
  </si>
  <si>
    <t>e. Ange analys i vikt-% av aska!</t>
  </si>
  <si>
    <t>f. Ange analys i oxidform, vikt-% av aska!</t>
  </si>
  <si>
    <t>MnO</t>
  </si>
  <si>
    <t>Startblad</t>
  </si>
  <si>
    <t>2. Mata in elementaranalysen i enheten vikt-% på torrt prov!</t>
  </si>
  <si>
    <t>1. Mata in värmevärdet i den enhet du har given så beräknas resten!</t>
  </si>
  <si>
    <t>1. Mata in elementaranalysen i den enhet du har given så beräknas resten!</t>
  </si>
  <si>
    <r>
      <t>1. Ange den O</t>
    </r>
    <r>
      <rPr>
        <b/>
        <vertAlign val="subscript"/>
        <sz val="12"/>
        <color indexed="10"/>
        <rFont val="Verdana"/>
        <family val="2"/>
      </rPr>
      <t>2</t>
    </r>
    <r>
      <rPr>
        <b/>
        <sz val="12"/>
        <color indexed="10"/>
        <rFont val="Verdana"/>
        <family val="2"/>
      </rPr>
      <t>-halt du har given och/eller luftfaktor</t>
    </r>
  </si>
  <si>
    <t>2. Mata in ny ask- och eller fukthalt!</t>
  </si>
  <si>
    <t>1. Ange det effektiva värmevärde för fuktigt bränsle</t>
  </si>
  <si>
    <t>1. Ange fukthalt</t>
  </si>
  <si>
    <t>2. Mata in gashalterna i den enhet du har given.</t>
  </si>
  <si>
    <t>1. Mata in den uppmätta syrehalten och den standardsyrehalt du önskar räkna om det till.</t>
  </si>
  <si>
    <t>2. Mata in de uppmätta gashalterna i den enhet du har given.</t>
  </si>
  <si>
    <t>Från fliken "Luft- och rökgas"</t>
  </si>
  <si>
    <t>A. Omräkning mellan ppm och mg/Nm3</t>
  </si>
  <si>
    <t>B. Omräkning mellan våt och torr gas</t>
  </si>
  <si>
    <t>C. Omräkning mellan olika syrehalter</t>
  </si>
  <si>
    <t>D. Omräkning mellan ppm och mg/MJ</t>
  </si>
  <si>
    <t>A. Beräkning av värmevärden utifrån elementaranalys</t>
  </si>
  <si>
    <t>B. Omräkning av värmevärde till olika enheter</t>
  </si>
  <si>
    <t>C. Hur inverkar förändrad ask- och fukthalt på värmevärdet?</t>
  </si>
  <si>
    <t>A. Beräkning av teoretiska luft- och rökgasmängder samt rökgassammansättning</t>
  </si>
  <si>
    <t>B. Beräkning av verkliga luft- och rökgasmängder samt rökgassammansättning</t>
  </si>
  <si>
    <t>C. Beräkning av verkliga luft- och rökgasflöden</t>
  </si>
  <si>
    <t>D. Beräkning av adiabatisk förbränningstemperatur</t>
  </si>
  <si>
    <t>Mn angivet som:</t>
  </si>
  <si>
    <t>*Mn angivet som:</t>
  </si>
  <si>
    <r>
      <t>MnO</t>
    </r>
    <r>
      <rPr>
        <vertAlign val="subscript"/>
        <sz val="10"/>
        <rFont val="Bookman Old Style"/>
        <family val="1"/>
      </rPr>
      <t>2</t>
    </r>
    <r>
      <rPr>
        <sz val="10"/>
        <rFont val="Bookman Old Style"/>
        <family val="1"/>
      </rPr>
      <t>*</t>
    </r>
  </si>
  <si>
    <t>Mn (mangan)*</t>
  </si>
  <si>
    <t>Inmatning för underlag till övriga kalkylark</t>
  </si>
  <si>
    <r>
      <t>Kväveoxider NOx (NO+ NO</t>
    </r>
    <r>
      <rPr>
        <vertAlign val="subscript"/>
        <sz val="10"/>
        <rFont val="Bookman Old Style"/>
        <family val="1"/>
      </rPr>
      <t>2</t>
    </r>
    <r>
      <rPr>
        <sz val="10"/>
        <rFont val="Bookman Old Style"/>
        <family val="1"/>
      </rPr>
      <t>)*</t>
    </r>
  </si>
  <si>
    <r>
      <t>* Inmatat värde på NO anges alltid som NO</t>
    </r>
    <r>
      <rPr>
        <vertAlign val="subscript"/>
        <sz val="10"/>
        <rFont val="Bookman Old Style"/>
        <family val="1"/>
      </rPr>
      <t xml:space="preserve">2 </t>
    </r>
    <r>
      <rPr>
        <sz val="10"/>
        <rFont val="Bookman Old Style"/>
        <family val="1"/>
      </rPr>
      <t>i enheten mg/Nm</t>
    </r>
    <r>
      <rPr>
        <vertAlign val="superscript"/>
        <sz val="10"/>
        <rFont val="Bookman Old Style"/>
        <family val="1"/>
      </rPr>
      <t>3</t>
    </r>
  </si>
  <si>
    <r>
      <t>*NO anges alltid som NO</t>
    </r>
    <r>
      <rPr>
        <vertAlign val="subscript"/>
        <sz val="10"/>
        <rFont val="Bookman Old Style"/>
        <family val="1"/>
      </rPr>
      <t>2</t>
    </r>
    <r>
      <rPr>
        <sz val="10"/>
        <rFont val="Bookman Old Style"/>
        <family val="1"/>
      </rPr>
      <t xml:space="preserve"> i enheten mg/Nm</t>
    </r>
    <r>
      <rPr>
        <vertAlign val="superscript"/>
        <sz val="10"/>
        <rFont val="Bookman Old Style"/>
        <family val="1"/>
      </rPr>
      <t>3</t>
    </r>
    <r>
      <rPr>
        <sz val="10"/>
        <rFont val="Bookman Old Style"/>
        <family val="1"/>
      </rPr>
      <t xml:space="preserve"> </t>
    </r>
  </si>
  <si>
    <t>*</t>
  </si>
  <si>
    <t>Kvävemonoxid NO</t>
  </si>
  <si>
    <t>Instruktioner</t>
  </si>
  <si>
    <t>Beräknande data finns i ljusblå fält</t>
  </si>
  <si>
    <t>Inmatade data finns i gula fält</t>
  </si>
  <si>
    <r>
      <t>Röda</t>
    </r>
    <r>
      <rPr>
        <sz val="10"/>
        <rFont val="Verdana"/>
        <family val="2"/>
      </rPr>
      <t xml:space="preserve"> värden ska matas in, </t>
    </r>
    <r>
      <rPr>
        <b/>
        <sz val="10"/>
        <rFont val="Verdana"/>
        <family val="2"/>
      </rPr>
      <t>svarta</t>
    </r>
    <r>
      <rPr>
        <sz val="10"/>
        <rFont val="Verdana"/>
        <family val="2"/>
      </rPr>
      <t xml:space="preserve"> värden är beräknade!</t>
    </r>
  </si>
  <si>
    <t>Följande färgkodning har gjorts för att underlätta förståelsen:</t>
  </si>
  <si>
    <t>Färgkodning</t>
  </si>
  <si>
    <t>Kalkylark</t>
  </si>
  <si>
    <t>I denna flik kan du räkna om en bränsleanalys mellan olika enheter.</t>
  </si>
  <si>
    <t>I fliken "Emissioner" finns text i gröna fält</t>
  </si>
  <si>
    <t>I denna flik kan du räkna om andelen av olika askkomponeneter i ett prov mellan olika enheter samt mellan elementarform och oxidform.</t>
  </si>
  <si>
    <t xml:space="preserve">Exempel: Du har en analys angiven på torrt prov. Gå in under 1b och mata in den. </t>
  </si>
  <si>
    <t>Halterna av de olika komponenterna i askan kan anges i elementarform, dvs halten för varje enskild metall anges.</t>
  </si>
  <si>
    <t>Spårelement: As, Pb, Cd, Cu, Co, Hg, Ni, Zn, V, Mo</t>
  </si>
  <si>
    <t>Huvudelement brukar vara: Al, Si, Fe, Mn, Ti, Ca, Mg, Ba, Na, K, P</t>
  </si>
  <si>
    <t>I denna flik kan du beräkna värmevärdet utfrån bränsleanalysen, räkna om värmevärde mellan olika enheter samt se hur förändrad</t>
  </si>
  <si>
    <t>ask- och fukthalt påverkar värmevärdet.</t>
  </si>
  <si>
    <t>Luft- och rökgas</t>
  </si>
  <si>
    <t xml:space="preserve">Om du ej har värmevärdet kan det beräknas utifrån elementaranalysen. </t>
  </si>
  <si>
    <t>A.</t>
  </si>
  <si>
    <t>Mata in värmevärdet i den enhet du har given. Värmevärdet beräknas för de andra enheterna.</t>
  </si>
  <si>
    <t xml:space="preserve">B. </t>
  </si>
  <si>
    <t>C.</t>
  </si>
  <si>
    <t>Mata in förändrad ask- och/eller fukthalt.</t>
  </si>
  <si>
    <t>Resultat: Det nya värmevärdet räknas ut i alla enheter och anges i det blåa fältet nedan.</t>
  </si>
  <si>
    <t>I denna flik kan du beräkna luft- och rökgasmängder, rökgassammansättning och adiabatisk förbränningstemperatur</t>
  </si>
  <si>
    <t xml:space="preserve">B: </t>
  </si>
  <si>
    <t>Här beräknas de verkliga luft- och rökgasmängder samt verklig rökgassammansättning.</t>
  </si>
  <si>
    <t xml:space="preserve">Exempel: Den uppmätta syrehalten i rökgasen är 2% angett på våt gas. Gå in under 1b och mata in detta. </t>
  </si>
  <si>
    <t>C:</t>
  </si>
  <si>
    <t>Här beräknas verkliga luft- och rökgasflöden</t>
  </si>
  <si>
    <t>Exempel: Mata in det effektiva värmevärdet för fuktigt bränsle</t>
  </si>
  <si>
    <t>Ange sedan bränsleanalys i enheten vikt-% på torrt prov. Om du har analysen på fuktigt eller torrt askfritt prov så kan du först använda fliken" Bränsleanalys" för att räkna om den till vikt-% på torrt prov.</t>
  </si>
  <si>
    <t>Ange först askhalt och fukthalt på ditt prov. Askhalten ska anges i vikt-% på torrt prov.</t>
  </si>
  <si>
    <t>Andelen syre (O) beräknas här genom att subtrahera den totala summan av de övriga beståndsdelarna från 100%.</t>
  </si>
  <si>
    <t>Resultat: Analysen visas i de andra enheterna i den blå kolumnen under inmatningskolumnen.</t>
  </si>
  <si>
    <t>Exempel: Du har analysen given i oxidform i enheten vikt-% på torrt prov. Gå in under 1 c och mata in halterna av de olika oxiderna.</t>
  </si>
  <si>
    <t>Resultat: I de blå kolumnerna till höger visas askkomponenterna i de andra enheterna.</t>
  </si>
  <si>
    <r>
      <t>Obs! Mn kan anges antingen som MnO eller MnO</t>
    </r>
    <r>
      <rPr>
        <vertAlign val="subscript"/>
        <sz val="10"/>
        <rFont val="Verdana"/>
        <family val="2"/>
      </rPr>
      <t xml:space="preserve">2. </t>
    </r>
    <r>
      <rPr>
        <sz val="10"/>
        <rFont val="Verdana"/>
        <family val="2"/>
      </rPr>
      <t>Värden där beräkningen baseras på MnO</t>
    </r>
    <r>
      <rPr>
        <vertAlign val="subscript"/>
        <sz val="10"/>
        <rFont val="Verdana"/>
        <family val="2"/>
      </rPr>
      <t>2</t>
    </r>
    <r>
      <rPr>
        <sz val="10"/>
        <rFont val="Verdana"/>
        <family val="2"/>
      </rPr>
      <t xml:space="preserve"> eller där MnO</t>
    </r>
    <r>
      <rPr>
        <vertAlign val="subscript"/>
        <sz val="10"/>
        <rFont val="Verdana"/>
        <family val="2"/>
      </rPr>
      <t>2</t>
    </r>
    <r>
      <rPr>
        <sz val="10"/>
        <rFont val="Verdana"/>
        <family val="2"/>
      </rPr>
      <t xml:space="preserve"> beräknas är markerade med *.</t>
    </r>
  </si>
  <si>
    <t>Instruktioner för de olika kalkylarken</t>
  </si>
  <si>
    <t>Support</t>
  </si>
  <si>
    <t xml:space="preserve">Om du behöver någon typ av support, kontakta: </t>
  </si>
  <si>
    <r>
      <t>Obs! Vid emissionsmätningar anges alltid kväveoxid NO som kvävedioxid NO</t>
    </r>
    <r>
      <rPr>
        <vertAlign val="subscript"/>
        <sz val="10"/>
        <rFont val="Verdana"/>
        <family val="2"/>
      </rPr>
      <t>2</t>
    </r>
    <r>
      <rPr>
        <sz val="10"/>
        <rFont val="Verdana"/>
        <family val="2"/>
      </rPr>
      <t>.</t>
    </r>
  </si>
  <si>
    <t>I denna flik kan du räkna om gasformiga emissioner mellan olika enheter.</t>
  </si>
  <si>
    <t xml:space="preserve">De andra flikarna kan användas oberoende av varandra. </t>
  </si>
  <si>
    <t>(Undantag: för att utföra beräkningarna under D i "Emissioner" måste du ha fyllt i vissa uppgifter i "Luft &amp; rökgas")</t>
  </si>
  <si>
    <t>Start</t>
  </si>
  <si>
    <t>Du ska alltid börja med att mata in data i fliken "Start"</t>
  </si>
  <si>
    <t xml:space="preserve">Indata till "Bränsleanalys" kommer från "Start" och ger askhalt och fukthalt. </t>
  </si>
  <si>
    <t>Indata till bladet från fliken "Start" är bränsleanalysen.</t>
  </si>
  <si>
    <t>Från fliken "Start":</t>
  </si>
  <si>
    <t xml:space="preserve">Under B: </t>
  </si>
  <si>
    <t>Under D:</t>
  </si>
  <si>
    <r>
      <t>O</t>
    </r>
    <r>
      <rPr>
        <vertAlign val="subscript"/>
        <sz val="10"/>
        <rFont val="Verdana"/>
        <family val="2"/>
      </rPr>
      <t>2</t>
    </r>
    <r>
      <rPr>
        <sz val="10"/>
        <rFont val="Verdana"/>
        <family val="2"/>
      </rPr>
      <t>-halt i torr rökgas (om du inte har denna halt använd kolumn 1b eller 1c för att ta fram den)</t>
    </r>
  </si>
  <si>
    <t>Resultat: Halten i mg/Nm3 på torr gas anges i den blå kolumnen till höger om inmatningsfältet.</t>
  </si>
  <si>
    <r>
      <t>Exempel: Du har en uppmätt halt på 10 mg/Nm</t>
    </r>
    <r>
      <rPr>
        <i/>
        <vertAlign val="superscript"/>
        <sz val="10"/>
        <color indexed="12"/>
        <rFont val="Verdana"/>
        <family val="2"/>
      </rPr>
      <t>3</t>
    </r>
    <r>
      <rPr>
        <i/>
        <sz val="10"/>
        <color indexed="12"/>
        <rFont val="Verdana"/>
        <family val="2"/>
      </rPr>
      <t xml:space="preserve"> vid 8% syrehalt. Du vill veta vad detta motsvarar vid 11% syrehalt.  </t>
    </r>
  </si>
  <si>
    <t>Mata in den uppmätta syrehalten, 8 %. Mata sedan in standardsyrehalten 11%.</t>
  </si>
  <si>
    <t>Resultat: Halten i mg/MJ anges i den blå kolumnen till höger.</t>
  </si>
  <si>
    <t xml:space="preserve">Exempel: Du har en uppmätt CO-halt på 50 ppm. Gå in på raden kolmonoxid CO och mata in. </t>
  </si>
  <si>
    <t>Utifrån bränsleflödet till pannan beräknas rökgasflödet</t>
  </si>
  <si>
    <t>Här beräknas de teoretiska luft och rökgasmängder samt den teoretiska rökgassammansättningen utifrån bränsleanalysen given i "Start"</t>
  </si>
  <si>
    <t>Obs! Beräkningarna i respektive kolumn utförs oberoende av varandra.</t>
  </si>
  <si>
    <t>Data hämtade från fliken "Start" finns i oranga fält</t>
  </si>
  <si>
    <t>Resultat: Halten i mg/Nm3 anges i den blå kolumnen till höger om inmatningsfältet.</t>
  </si>
  <si>
    <t>1 Start</t>
  </si>
  <si>
    <t>2 Bränsleanalys</t>
  </si>
  <si>
    <t>3 Askanalys</t>
  </si>
  <si>
    <t>4 Värmevärden</t>
  </si>
  <si>
    <t>5 Luft-och rökgas</t>
  </si>
  <si>
    <t>6 Emissioner</t>
  </si>
  <si>
    <t>I en bränsleanalys anges vanligtvis andelen av beståndsdelarna kol (C), väte (H), svavel (S), kväve (N) och syre (O) i provet. Dessutom anges fukthalten samt askhalten i provet.</t>
  </si>
  <si>
    <t>Den vanligaste enheten som en bränsleanalys brukar vara given i är vikt-% på torrt prov. Ibland kan det vara bra att ha analysen på det verkliga fuktiga provet eller på det torra och askfria provet.</t>
  </si>
  <si>
    <t>Askanalyser anges ofta i olika enheter beroende på hur mycket det finns av respektive ämne i provet. Ofta anges huvudelementen i askan i enheten vikt-% på torrt prov och spårämnen i mg/kg aska, men detta kan variera.</t>
  </si>
  <si>
    <t>Resultat: Det omräknade värmevärdet anges i det blå fälten nedanför inmatningskolumnen.</t>
  </si>
  <si>
    <t>Resultat: Svaren ges i den blåa kolumnen nedanför. Observera att beräkningarna i de tre kolumnerna under a, b och c utförs oberoende av varandra.</t>
  </si>
  <si>
    <t>Här kan du räkna om mellan olika syrehalter i rökgasen, vilket kan vara användbart exempelvis när man ska kontrollera om gränsvärden uppfylls för avfallsförbrännings-direktivet.</t>
  </si>
  <si>
    <t xml:space="preserve">Exempel: Du har det effektiva värmevärdet på fuktigt prov. Gå in under kolumn 1b och mata in det. </t>
  </si>
  <si>
    <t>Från punkt B ovan:</t>
  </si>
  <si>
    <t>Resultat: Halten i mg/Nm3 vid 11% syrehalt anges i den blå kolumnen till höger om inmatningsfältet.</t>
  </si>
  <si>
    <t>Resultat: Den adiabatiska förbränningstemperaturen beräknas.</t>
  </si>
  <si>
    <t>D: Beräkning av adiabatisk förbränningstemperatur*</t>
  </si>
  <si>
    <t>*Beräkningen för den adiabatiska förbränningstemperaturen är baserad på formler hämtad från Steinmüller Pocket Book, Steam Generation, 2nd English edition</t>
  </si>
  <si>
    <t>Adibatisk förbr. Temp*</t>
  </si>
  <si>
    <t>*Adibatisk förbr. temp</t>
  </si>
  <si>
    <t xml:space="preserve">Exempel: Du har en uppmätt CO-halt i ppm. Gå in på raden kolmonoxid CO och mata in. </t>
  </si>
  <si>
    <r>
      <t>Obs! De tre olika kolumnerna för beräkning av temperaturen hänger samman med kolumnerna under B. Titta alltså i den kolumn där de indata du lade in under B finns. (O</t>
    </r>
    <r>
      <rPr>
        <vertAlign val="subscript"/>
        <sz val="10"/>
        <rFont val="Verdana"/>
        <family val="2"/>
      </rPr>
      <t>2</t>
    </r>
    <r>
      <rPr>
        <sz val="10"/>
        <rFont val="Verdana"/>
        <family val="2"/>
      </rPr>
      <t>-halt på torr eller våt gas eller luftfaktor)</t>
    </r>
  </si>
  <si>
    <t>Exempel: Du vill veta vad som händer med värmevärdet om fukthalten ökar. Mata först in det effektiva värmevärdet på torrt askfritt prov angivet från beräkningarna under B. Mata sedan in ny fukthalt samt provets askhalt.</t>
  </si>
  <si>
    <r>
      <t>Exempel: Du har en uppmätt halt i mg/Nm</t>
    </r>
    <r>
      <rPr>
        <i/>
        <vertAlign val="superscript"/>
        <sz val="10"/>
        <color indexed="12"/>
        <rFont val="Verdana"/>
        <family val="2"/>
      </rPr>
      <t>3</t>
    </r>
    <r>
      <rPr>
        <i/>
        <sz val="10"/>
        <color indexed="12"/>
        <rFont val="Verdana"/>
        <family val="2"/>
      </rPr>
      <t xml:space="preserve"> våt gas.  Mata först rökgasens fukthalt i volymprocent. Gå  in under Väteklorid HCl i kolumnen "Inmatning mg/Nm3, våt gas" och mata in.</t>
    </r>
  </si>
  <si>
    <t>OBS! Du ska alltid börja med att mata in data i fliken "Start"</t>
  </si>
  <si>
    <t>Följ sedan instruktionerna i respektive kalkylark. För mer information om varje kalkylark, se nedan.</t>
  </si>
  <si>
    <r>
      <t>Ange den O</t>
    </r>
    <r>
      <rPr>
        <vertAlign val="subscript"/>
        <sz val="10"/>
        <rFont val="Verdana"/>
        <family val="2"/>
      </rPr>
      <t>2</t>
    </r>
    <r>
      <rPr>
        <sz val="10"/>
        <rFont val="Verdana"/>
        <family val="2"/>
      </rPr>
      <t>-halt du har uppmätt och/eller luftfaktor</t>
    </r>
  </si>
  <si>
    <t>Fuktigt prov</t>
  </si>
  <si>
    <t>Gulmarkerat område= rader för inmatning av analysdata. Där värden saknas sätts "0" utom för torrhalten som  sätts till  "100"</t>
  </si>
  <si>
    <t>Beräkningsmall för bränsleblandningar:</t>
  </si>
  <si>
    <t>5 bränslen eller 4 bränslen och 1 bäddmaterial</t>
  </si>
  <si>
    <t>Doserad mängd bränsle anges i valfri enhet. OBS samma för samtliga bränslen/bäddmaterial</t>
  </si>
  <si>
    <t>Bränsle 1</t>
  </si>
  <si>
    <t>Bränsle 2</t>
  </si>
  <si>
    <t>Bränsle 3</t>
  </si>
  <si>
    <t>Bränsle 4</t>
  </si>
  <si>
    <t>Bränsle 5</t>
  </si>
  <si>
    <t>Doserad mängd</t>
  </si>
  <si>
    <t>Torrhalt i bränsle vikt-%</t>
  </si>
  <si>
    <t>Askhalt (550°C) vikt-% av torrt bränsle</t>
  </si>
  <si>
    <t>* Indata som inte är obligatoriska</t>
  </si>
  <si>
    <t>S och Cl anges som vikt-% i torrt bränsle</t>
  </si>
  <si>
    <t>Blandning</t>
  </si>
  <si>
    <t>Cl vikt-% i torrt bränsle</t>
  </si>
  <si>
    <t>Cl vikt-% i torr aska</t>
  </si>
  <si>
    <t>S vikt-% i torrt bränsle</t>
  </si>
  <si>
    <t>S vikt-% i torr aska</t>
  </si>
  <si>
    <t>Asksammansättning, rel.</t>
  </si>
  <si>
    <t>Si (max.4)</t>
  </si>
  <si>
    <t>Al (max.3)</t>
  </si>
  <si>
    <t>Ca (2)</t>
  </si>
  <si>
    <t>Fe (max.3)</t>
  </si>
  <si>
    <t>K (1)</t>
  </si>
  <si>
    <t>Mg (2)</t>
  </si>
  <si>
    <t>Mn (2)</t>
  </si>
  <si>
    <t>Na (1)</t>
  </si>
  <si>
    <t>P (3)</t>
  </si>
  <si>
    <t>Ti (2)</t>
  </si>
  <si>
    <t>S (2)</t>
  </si>
  <si>
    <t>als SO3 (2)</t>
  </si>
  <si>
    <t>Cl (1)</t>
  </si>
  <si>
    <t>Här viktas de molära halterna med troliga stökiometriska faktorer</t>
  </si>
  <si>
    <t>Si (F2)</t>
  </si>
  <si>
    <t>Al (F1)</t>
  </si>
  <si>
    <t>Ca (F2)</t>
  </si>
  <si>
    <t>Fe (F3)</t>
  </si>
  <si>
    <t>K (F1)</t>
  </si>
  <si>
    <t>Mg (F2)</t>
  </si>
  <si>
    <t>Mn (F2)</t>
  </si>
  <si>
    <t>Na (F1)</t>
  </si>
  <si>
    <t>P (F3)</t>
  </si>
  <si>
    <t>Ti (F2)</t>
  </si>
  <si>
    <t>S (F2)</t>
  </si>
  <si>
    <t>SO3 (F2)</t>
  </si>
  <si>
    <t>Cl (F1)</t>
  </si>
  <si>
    <t>Riskområde</t>
  </si>
  <si>
    <t>alkalinitetstal 1a</t>
  </si>
  <si>
    <t>(K+Na+3Fe+2Ca+2Mg)/(2Si+Al+3P+2Ti)</t>
  </si>
  <si>
    <t>&gt; 0,8</t>
  </si>
  <si>
    <t>(K+Na)/(K+Na+2Ca+3Fe+2Mg)</t>
  </si>
  <si>
    <t>&gt; 0,3</t>
  </si>
  <si>
    <t>saltkvot 1</t>
  </si>
  <si>
    <t xml:space="preserve">(Cl+2S)/(K+Na) </t>
  </si>
  <si>
    <t>0,2 - 4</t>
  </si>
  <si>
    <t>eutektikumstal 1</t>
  </si>
  <si>
    <t>Na/(Na+K)</t>
  </si>
  <si>
    <t>0,2 - 0,8</t>
  </si>
  <si>
    <t>eutektikumstal 2</t>
  </si>
  <si>
    <t>Ca/(Ca+Mg)</t>
  </si>
  <si>
    <t>fältspattal 1</t>
  </si>
  <si>
    <t>2Si/Al [~6]</t>
  </si>
  <si>
    <t>&gt; 6</t>
  </si>
  <si>
    <t>fältspattal 2</t>
  </si>
  <si>
    <t>Al/(K+Na)</t>
  </si>
  <si>
    <t>förglasningstal 1</t>
  </si>
  <si>
    <t xml:space="preserve">2(K+Na)/3Si </t>
  </si>
  <si>
    <t>0,2 - 1</t>
  </si>
  <si>
    <t>förglasningstal 2</t>
  </si>
  <si>
    <t xml:space="preserve">(K+Na)/2Si </t>
  </si>
  <si>
    <t>Blandning oxider</t>
  </si>
  <si>
    <t>0,2 - 0,9</t>
  </si>
  <si>
    <t>&lt; 1</t>
  </si>
  <si>
    <t>0,1 - 0,9</t>
  </si>
  <si>
    <t>alkaliandel</t>
  </si>
  <si>
    <t>Blåmarkerade fält visar beräknade värden</t>
  </si>
  <si>
    <r>
      <t>Om du</t>
    </r>
    <r>
      <rPr>
        <b/>
        <sz val="10"/>
        <rFont val="Verdana"/>
        <family val="2"/>
      </rPr>
      <t xml:space="preserve"> inte</t>
    </r>
    <r>
      <rPr>
        <sz val="10"/>
        <rFont val="Verdana"/>
        <family val="2"/>
      </rPr>
      <t xml:space="preserve"> har analysen i enheten </t>
    </r>
    <r>
      <rPr>
        <b/>
        <sz val="10"/>
        <rFont val="Verdana"/>
        <family val="2"/>
      </rPr>
      <t>vikt-% på torrt prov</t>
    </r>
    <r>
      <rPr>
        <sz val="10"/>
        <rFont val="Verdana"/>
        <family val="2"/>
      </rPr>
      <t xml:space="preserve"> använd först fliken </t>
    </r>
  </si>
  <si>
    <r>
      <t>"Bränsleanalys"</t>
    </r>
    <r>
      <rPr>
        <sz val="10"/>
        <rFont val="Verdana"/>
        <family val="2"/>
      </rPr>
      <t xml:space="preserve"> för att räkna om den till denna enhet.</t>
    </r>
  </si>
  <si>
    <t>Om du har ett värmevärde gå vidare till B nedan.</t>
  </si>
  <si>
    <t xml:space="preserve">1. Mata in värdet Heff torrt askfritt som du erhållit från </t>
  </si>
  <si>
    <t xml:space="preserve">    beräkningarna ovan!</t>
  </si>
  <si>
    <t xml:space="preserve">*Beräkningen för den adiabatiska förbränningstemperaturen är baserad på formler hämtad från </t>
  </si>
  <si>
    <t>Steinmüller Pocket Book, Steam Generation, 2nd English edition</t>
  </si>
  <si>
    <t xml:space="preserve">För att alla beräkningar i detta ark ska fungera måste makron vara aktiverade.  </t>
  </si>
  <si>
    <t>Om du får felmeddelande gå in i menyn under Verktyg/Makro/Säkerhet.</t>
  </si>
  <si>
    <t>Om meddelandet "Orimlig summa!" kommer upp betyder det att summan av komponenterna överstiger den angivna askhalten.</t>
  </si>
  <si>
    <t>Nyckeltal</t>
  </si>
  <si>
    <t>A. Doserade mängder bränsle och aska</t>
  </si>
  <si>
    <t>Doserad andel fuktigt bränsle</t>
  </si>
  <si>
    <t xml:space="preserve">Doserad mängd torrt bränsle </t>
  </si>
  <si>
    <t>Doserad andel torrt bränsle</t>
  </si>
  <si>
    <t xml:space="preserve">Doserad mängd  torr aska </t>
  </si>
  <si>
    <t>Doserad andel torr aska</t>
  </si>
  <si>
    <t>B. Beräkning av asksammansättning.</t>
  </si>
  <si>
    <t>C. Beräkning av Nyckeltal</t>
  </si>
  <si>
    <t>D. Beräkning av svavelkvoter</t>
  </si>
  <si>
    <t>Ca/S</t>
  </si>
  <si>
    <t>S/Cl</t>
  </si>
  <si>
    <r>
      <t>Askkomponenterna anges som</t>
    </r>
    <r>
      <rPr>
        <b/>
        <sz val="10"/>
        <rFont val="Bookman Old Style"/>
        <family val="1"/>
      </rPr>
      <t xml:space="preserve"> vikt-% i torr aska</t>
    </r>
    <r>
      <rPr>
        <sz val="10"/>
        <rFont val="Bookman Old Style"/>
        <family val="1"/>
      </rPr>
      <t>. Om analysdata finns i annan form: Gå in under fliken askanalys och beräkna till vikts-% torr aska.</t>
    </r>
  </si>
  <si>
    <r>
      <t>SiO</t>
    </r>
    <r>
      <rPr>
        <b/>
        <vertAlign val="subscript"/>
        <sz val="10"/>
        <rFont val="Bookman Old Style"/>
        <family val="1"/>
      </rPr>
      <t>2</t>
    </r>
  </si>
  <si>
    <r>
      <t>Al</t>
    </r>
    <r>
      <rPr>
        <b/>
        <vertAlign val="subscript"/>
        <sz val="10"/>
        <rFont val="Bookman Old Style"/>
        <family val="1"/>
      </rPr>
      <t>2</t>
    </r>
    <r>
      <rPr>
        <b/>
        <sz val="10"/>
        <rFont val="Bookman Old Style"/>
        <family val="1"/>
      </rPr>
      <t>O</t>
    </r>
    <r>
      <rPr>
        <b/>
        <vertAlign val="subscript"/>
        <sz val="10"/>
        <rFont val="Bookman Old Style"/>
        <family val="1"/>
      </rPr>
      <t>3</t>
    </r>
  </si>
  <si>
    <r>
      <t>Fe</t>
    </r>
    <r>
      <rPr>
        <b/>
        <vertAlign val="subscript"/>
        <sz val="10"/>
        <rFont val="Bookman Old Style"/>
        <family val="1"/>
      </rPr>
      <t>2</t>
    </r>
    <r>
      <rPr>
        <b/>
        <sz val="10"/>
        <rFont val="Bookman Old Style"/>
        <family val="1"/>
      </rPr>
      <t>O</t>
    </r>
    <r>
      <rPr>
        <b/>
        <vertAlign val="subscript"/>
        <sz val="10"/>
        <rFont val="Bookman Old Style"/>
        <family val="1"/>
      </rPr>
      <t>3</t>
    </r>
  </si>
  <si>
    <r>
      <t>K</t>
    </r>
    <r>
      <rPr>
        <b/>
        <vertAlign val="subscript"/>
        <sz val="10"/>
        <rFont val="Bookman Old Style"/>
        <family val="1"/>
      </rPr>
      <t>2</t>
    </r>
    <r>
      <rPr>
        <b/>
        <sz val="10"/>
        <rFont val="Bookman Old Style"/>
        <family val="1"/>
      </rPr>
      <t>O</t>
    </r>
  </si>
  <si>
    <r>
      <t>MnO</t>
    </r>
    <r>
      <rPr>
        <b/>
        <vertAlign val="subscript"/>
        <sz val="10"/>
        <rFont val="Bookman Old Style"/>
        <family val="1"/>
      </rPr>
      <t>2</t>
    </r>
    <r>
      <rPr>
        <b/>
        <sz val="10"/>
        <rFont val="Bookman Old Style"/>
        <family val="1"/>
      </rPr>
      <t xml:space="preserve"> *</t>
    </r>
  </si>
  <si>
    <r>
      <t>Na</t>
    </r>
    <r>
      <rPr>
        <b/>
        <vertAlign val="subscript"/>
        <sz val="10"/>
        <rFont val="Bookman Old Style"/>
        <family val="1"/>
      </rPr>
      <t>2</t>
    </r>
    <r>
      <rPr>
        <b/>
        <sz val="10"/>
        <rFont val="Bookman Old Style"/>
        <family val="1"/>
      </rPr>
      <t>O</t>
    </r>
  </si>
  <si>
    <r>
      <t>P</t>
    </r>
    <r>
      <rPr>
        <b/>
        <vertAlign val="subscript"/>
        <sz val="10"/>
        <rFont val="Bookman Old Style"/>
        <family val="1"/>
      </rPr>
      <t>2</t>
    </r>
    <r>
      <rPr>
        <b/>
        <sz val="10"/>
        <rFont val="Bookman Old Style"/>
        <family val="1"/>
      </rPr>
      <t>O</t>
    </r>
    <r>
      <rPr>
        <b/>
        <vertAlign val="subscript"/>
        <sz val="10"/>
        <rFont val="Bookman Old Style"/>
        <family val="1"/>
      </rPr>
      <t>5</t>
    </r>
  </si>
  <si>
    <r>
      <t>TiO</t>
    </r>
    <r>
      <rPr>
        <b/>
        <vertAlign val="subscript"/>
        <sz val="10"/>
        <rFont val="Bookman Old Style"/>
        <family val="1"/>
      </rPr>
      <t>2</t>
    </r>
    <r>
      <rPr>
        <b/>
        <sz val="10"/>
        <rFont val="Bookman Old Style"/>
        <family val="1"/>
      </rPr>
      <t xml:space="preserve"> *</t>
    </r>
  </si>
  <si>
    <t xml:space="preserve">Doserad mängd som levererat fuktigt bränsle </t>
  </si>
  <si>
    <t xml:space="preserve">S </t>
  </si>
  <si>
    <r>
      <t>Som SO</t>
    </r>
    <r>
      <rPr>
        <vertAlign val="subscript"/>
        <sz val="10"/>
        <rFont val="Bookman Old Style"/>
        <family val="1"/>
      </rPr>
      <t>3</t>
    </r>
    <r>
      <rPr>
        <sz val="10"/>
        <rFont val="Bookman Old Style"/>
        <family val="1"/>
      </rPr>
      <t xml:space="preserve"> </t>
    </r>
  </si>
  <si>
    <t xml:space="preserve">Cl </t>
  </si>
  <si>
    <t>Kan förbättra påslags- och korrosionstendenserna i pannan.</t>
  </si>
  <si>
    <t>Gynsamma värden</t>
  </si>
  <si>
    <t>2-4 bra          &gt; 4 bättre</t>
  </si>
  <si>
    <t>H (väte) från bränslet</t>
  </si>
  <si>
    <t>O (syre) från bränslet</t>
  </si>
  <si>
    <t>1. Ange bränsleflöde i ton fuktigt bränsle/timme</t>
  </si>
  <si>
    <t>7  Nyckeltal</t>
  </si>
  <si>
    <t>Allmänt om Beräkningsbilaga A</t>
  </si>
  <si>
    <t>Välkommen att börja använda detta Excelark! Hoppas att du får nytta av den i ditt arbete.</t>
  </si>
  <si>
    <t>Bilagan har 7 kalkylark (flikar) där olika typer av beräkningar kan göras.</t>
  </si>
  <si>
    <t>-</t>
  </si>
  <si>
    <t>Rest</t>
  </si>
  <si>
    <t>&gt;1,5-2*     &lt;1**</t>
  </si>
  <si>
    <r>
      <t>Visar möjlighet/eller "risken" till egenadsorption av SO</t>
    </r>
    <r>
      <rPr>
        <vertAlign val="subscript"/>
        <sz val="10"/>
        <rFont val="Bookman Old Style"/>
        <family val="1"/>
      </rPr>
      <t>2</t>
    </r>
    <r>
      <rPr>
        <sz val="10"/>
        <rFont val="Bookman Old Style"/>
        <family val="1"/>
      </rPr>
      <t xml:space="preserve"> i FB. </t>
    </r>
  </si>
  <si>
    <t>** Om man önskar att reducera klorhalten i beläggningar t.ex. genom svaveltillsats så kan ett högt Ca/S innebära att effekten av svaveltillsatsen minskar.</t>
  </si>
  <si>
    <t xml:space="preserve">Med högt Ca/S i en FB-panna kan därmed en högre S/Cl -kvot krävas för att den positiva effekten av svavel på klorproblematiken inte ska utebli.
 </t>
  </si>
  <si>
    <t>E. Beräkning av fosforkvoter</t>
  </si>
  <si>
    <t>Ca/(S+1,5P)</t>
  </si>
  <si>
    <t>P/(K+Na+1,5Ca+1,5Mg)</t>
  </si>
  <si>
    <t>Visar möjlighet att ersätta klor med fosfor. Kan minska klorinnehåll i beläggningar.</t>
  </si>
  <si>
    <t>&gt;1</t>
  </si>
  <si>
    <t>*Om man önskar reducera svaveldioxidhalten t.ex.vid förbränning av svavelrika bränslen som torv, kol..</t>
  </si>
  <si>
    <t>** Om man önskar att reducera klorhalten i beläggningar t.ex. genom svaveltillsats och/eller fosfortillsats så kan ett högt Ca/(S+1,5P) innebära att effekten av tillsatsen minskar.</t>
  </si>
  <si>
    <t xml:space="preserve">Med högt Ca/(S+1,5P) i en FB-panna kan därmed en högre tillsats krävas för att den positiva effekten inte ska utebli.
 </t>
  </si>
  <si>
    <t xml:space="preserve">Visar på överskott av kalcium jämfört med svavel och fosfor. Tar hänsyn till att kalcium även reagerar med fosfor. </t>
  </si>
  <si>
    <t>Ordning enligt nyckeltal</t>
  </si>
  <si>
    <t xml:space="preserve">Beräknat </t>
  </si>
  <si>
    <t>Median Rötslam Fe</t>
  </si>
  <si>
    <t>Exempel Rötslam Fe</t>
  </si>
  <si>
    <t>Exempel Rötslam Al</t>
  </si>
  <si>
    <t xml:space="preserve">En askanalys kan även anges i den form som komponenterna föreligger dvs bundet med syre till oxider. </t>
  </si>
  <si>
    <t xml:space="preserve">Birgitta Strömberg </t>
  </si>
  <si>
    <t>Värmeforsk Service AB</t>
  </si>
  <si>
    <t>101 53 Stockholm</t>
  </si>
  <si>
    <t>Besök: Olof Palmes gata 31</t>
  </si>
  <si>
    <t>Tel vxl: 08-677 25 80</t>
  </si>
  <si>
    <t>Tel direkt: 08-677 27 71</t>
  </si>
  <si>
    <t>Mobil: 0701-64 44 50</t>
  </si>
  <si>
    <t>Fax: 08-677 25 06</t>
  </si>
  <si>
    <t>e-post: birgitta.stromberg@varmeforsk.se</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</si>
</sst>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0000"/>
    <numFmt numFmtId="166" formatCode="0.0000"/>
    <numFmt numFmtId="167" formatCode="0.000"/>
    <numFmt numFmtId="168" formatCode="0.0"/>
    <numFmt numFmtId="169" formatCode="0.0%"/>
    <numFmt numFmtId="170" formatCode="0.000000"/>
    <numFmt numFmtId="171" formatCode="0.00000000"/>
    <numFmt numFmtId="172" formatCode="0.0000000"/>
    <numFmt numFmtId="173" formatCode="#,##0.0"/>
    <numFmt numFmtId="174" formatCode="#,##0.000"/>
    <numFmt numFmtId="175" formatCode="#,##0.0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41D]&quot;den &quot;d\ mmmm\ yyyy"/>
  </numFmts>
  <fonts count="78">
    <font>
      <sz val="10"/>
      <name val="Arial"/>
      <family val="0"/>
    </font>
    <font>
      <sz val="10"/>
      <color indexed="10"/>
      <name val="Arial"/>
      <family val="2"/>
    </font>
    <font>
      <u val="single"/>
      <sz val="10"/>
      <color indexed="12"/>
      <name val="Arial"/>
      <family val="2"/>
    </font>
    <font>
      <u val="single"/>
      <sz val="10"/>
      <color indexed="36"/>
      <name val="Arial"/>
      <family val="2"/>
    </font>
    <font>
      <b/>
      <sz val="12"/>
      <name val="Bookman Old Style"/>
      <family val="1"/>
    </font>
    <font>
      <sz val="10"/>
      <name val="Bookman Old Style"/>
      <family val="1"/>
    </font>
    <font>
      <sz val="10"/>
      <color indexed="8"/>
      <name val="Bookman Old Style"/>
      <family val="1"/>
    </font>
    <font>
      <sz val="10"/>
      <color indexed="12"/>
      <name val="Bookman Old Style"/>
      <family val="1"/>
    </font>
    <font>
      <b/>
      <sz val="12"/>
      <color indexed="8"/>
      <name val="Bookman Old Style"/>
      <family val="1"/>
    </font>
    <font>
      <b/>
      <sz val="10"/>
      <color indexed="8"/>
      <name val="Bookman Old Style"/>
      <family val="1"/>
    </font>
    <font>
      <b/>
      <sz val="10"/>
      <name val="Bookman Old Style"/>
      <family val="1"/>
    </font>
    <font>
      <b/>
      <sz val="12"/>
      <color indexed="10"/>
      <name val="Bookman Old Style"/>
      <family val="1"/>
    </font>
    <font>
      <b/>
      <sz val="12"/>
      <color indexed="10"/>
      <name val="Arial"/>
      <family val="2"/>
    </font>
    <font>
      <b/>
      <sz val="10"/>
      <color indexed="10"/>
      <name val="Arial"/>
      <family val="2"/>
    </font>
    <font>
      <b/>
      <sz val="12"/>
      <color indexed="10"/>
      <name val="Verdana"/>
      <family val="2"/>
    </font>
    <font>
      <sz val="12"/>
      <name val="Verdana"/>
      <family val="2"/>
    </font>
    <font>
      <b/>
      <sz val="12"/>
      <name val="Verdana"/>
      <family val="2"/>
    </font>
    <font>
      <b/>
      <sz val="18"/>
      <name val="Verdana"/>
      <family val="2"/>
    </font>
    <font>
      <b/>
      <sz val="16"/>
      <name val="Verdana"/>
      <family val="2"/>
    </font>
    <font>
      <b/>
      <vertAlign val="superscript"/>
      <sz val="10"/>
      <name val="Bookman Old Style"/>
      <family val="1"/>
    </font>
    <font>
      <vertAlign val="subscript"/>
      <sz val="10"/>
      <name val="Bookman Old Style"/>
      <family val="1"/>
    </font>
    <font>
      <b/>
      <sz val="10"/>
      <color indexed="12"/>
      <name val="Bookman Old Style"/>
      <family val="1"/>
    </font>
    <font>
      <b/>
      <vertAlign val="subscript"/>
      <sz val="10"/>
      <name val="Bookman Old Style"/>
      <family val="1"/>
    </font>
    <font>
      <b/>
      <vertAlign val="subscript"/>
      <sz val="12"/>
      <color indexed="10"/>
      <name val="Verdana"/>
      <family val="2"/>
    </font>
    <font>
      <vertAlign val="superscript"/>
      <sz val="10"/>
      <name val="Bookman Old Style"/>
      <family val="1"/>
    </font>
    <font>
      <b/>
      <sz val="10"/>
      <color indexed="10"/>
      <name val="Verdana"/>
      <family val="2"/>
    </font>
    <font>
      <sz val="10"/>
      <name val="Verdana"/>
      <family val="2"/>
    </font>
    <font>
      <sz val="10"/>
      <color indexed="10"/>
      <name val="Bookman Old Style"/>
      <family val="1"/>
    </font>
    <font>
      <b/>
      <u val="single"/>
      <sz val="12"/>
      <name val="Verdana"/>
      <family val="2"/>
    </font>
    <font>
      <vertAlign val="subscript"/>
      <sz val="10"/>
      <name val="Verdana"/>
      <family val="2"/>
    </font>
    <font>
      <b/>
      <sz val="10"/>
      <name val="Verdana"/>
      <family val="2"/>
    </font>
    <font>
      <sz val="10"/>
      <color indexed="10"/>
      <name val="Verdana"/>
      <family val="2"/>
    </font>
    <font>
      <i/>
      <sz val="10"/>
      <name val="Verdana"/>
      <family val="2"/>
    </font>
    <font>
      <i/>
      <sz val="10"/>
      <color indexed="12"/>
      <name val="Verdana"/>
      <family val="2"/>
    </font>
    <font>
      <b/>
      <i/>
      <sz val="16"/>
      <name val="Verdana"/>
      <family val="2"/>
    </font>
    <font>
      <b/>
      <i/>
      <sz val="14"/>
      <name val="Verdana"/>
      <family val="2"/>
    </font>
    <font>
      <i/>
      <sz val="10"/>
      <color indexed="12"/>
      <name val="Arial"/>
      <family val="2"/>
    </font>
    <font>
      <i/>
      <vertAlign val="superscript"/>
      <sz val="10"/>
      <color indexed="12"/>
      <name val="Verdana"/>
      <family val="2"/>
    </font>
    <font>
      <b/>
      <sz val="12"/>
      <color indexed="12"/>
      <name val="Bookman Old Style"/>
      <family val="1"/>
    </font>
    <font>
      <b/>
      <sz val="16"/>
      <name val="Arial"/>
      <family val="2"/>
    </font>
    <font>
      <i/>
      <sz val="10"/>
      <name val="Bookman Old Style"/>
      <family val="1"/>
    </font>
    <font>
      <b/>
      <sz val="10"/>
      <color indexed="10"/>
      <name val="Bookman Old Style"/>
      <family val="1"/>
    </font>
    <font>
      <sz val="9"/>
      <name val="Arial"/>
      <family val="2"/>
    </font>
    <font>
      <b/>
      <sz val="8"/>
      <color indexed="12"/>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82">
    <xf numFmtId="0" fontId="0" fillId="0" borderId="0" xfId="0" applyAlignment="1">
      <alignment/>
    </xf>
    <xf numFmtId="2" fontId="5" fillId="33" borderId="0" xfId="0" applyNumberFormat="1" applyFont="1" applyFill="1" applyAlignment="1">
      <alignment/>
    </xf>
    <xf numFmtId="0" fontId="0" fillId="0" borderId="0" xfId="0" applyFill="1" applyAlignment="1">
      <alignment/>
    </xf>
    <xf numFmtId="0" fontId="8"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9" fillId="33" borderId="13" xfId="0" applyFont="1" applyFill="1" applyBorder="1" applyAlignment="1">
      <alignment/>
    </xf>
    <xf numFmtId="0" fontId="5" fillId="33" borderId="0" xfId="0" applyFont="1" applyFill="1" applyBorder="1" applyAlignment="1">
      <alignment/>
    </xf>
    <xf numFmtId="0" fontId="5" fillId="33" borderId="14" xfId="0" applyFont="1" applyFill="1" applyBorder="1" applyAlignment="1">
      <alignment/>
    </xf>
    <xf numFmtId="0" fontId="10" fillId="33" borderId="13" xfId="0" applyFont="1" applyFill="1" applyBorder="1" applyAlignment="1">
      <alignment/>
    </xf>
    <xf numFmtId="0" fontId="5" fillId="33" borderId="13" xfId="0" applyFont="1" applyFill="1" applyBorder="1" applyAlignment="1">
      <alignment/>
    </xf>
    <xf numFmtId="2" fontId="5" fillId="33" borderId="0" xfId="0" applyNumberFormat="1" applyFont="1" applyFill="1" applyBorder="1" applyAlignment="1">
      <alignment/>
    </xf>
    <xf numFmtId="0" fontId="5" fillId="33" borderId="15" xfId="0" applyFont="1" applyFill="1" applyBorder="1" applyAlignment="1">
      <alignment/>
    </xf>
    <xf numFmtId="0" fontId="5" fillId="33" borderId="16" xfId="0" applyFont="1" applyFill="1" applyBorder="1" applyAlignment="1">
      <alignment/>
    </xf>
    <xf numFmtId="0" fontId="4" fillId="34" borderId="10"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4" fillId="34" borderId="13" xfId="0" applyFont="1" applyFill="1" applyBorder="1" applyAlignment="1">
      <alignment/>
    </xf>
    <xf numFmtId="0" fontId="0" fillId="34" borderId="0" xfId="0" applyFill="1" applyBorder="1" applyAlignment="1">
      <alignment/>
    </xf>
    <xf numFmtId="0" fontId="0" fillId="34" borderId="14" xfId="0" applyFill="1" applyBorder="1" applyAlignment="1">
      <alignment/>
    </xf>
    <xf numFmtId="0" fontId="10" fillId="34" borderId="13" xfId="0" applyFont="1" applyFill="1" applyBorder="1" applyAlignment="1">
      <alignment/>
    </xf>
    <xf numFmtId="0" fontId="5" fillId="34" borderId="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7" xfId="0" applyFont="1" applyFill="1" applyBorder="1" applyAlignment="1">
      <alignment/>
    </xf>
    <xf numFmtId="0" fontId="5" fillId="34" borderId="16" xfId="0" applyFont="1" applyFill="1" applyBorder="1" applyAlignment="1">
      <alignment/>
    </xf>
    <xf numFmtId="0" fontId="13" fillId="0" borderId="0" xfId="0" applyFont="1" applyAlignment="1">
      <alignment/>
    </xf>
    <xf numFmtId="2" fontId="5" fillId="33" borderId="17" xfId="0" applyNumberFormat="1" applyFont="1" applyFill="1" applyBorder="1" applyAlignment="1">
      <alignment/>
    </xf>
    <xf numFmtId="2" fontId="5" fillId="33" borderId="0" xfId="0" applyNumberFormat="1" applyFont="1" applyFill="1" applyBorder="1" applyAlignment="1">
      <alignment horizontal="center"/>
    </xf>
    <xf numFmtId="2" fontId="5" fillId="33" borderId="0" xfId="0" applyNumberFormat="1" applyFont="1" applyFill="1" applyBorder="1" applyAlignment="1">
      <alignment horizontal="right"/>
    </xf>
    <xf numFmtId="2" fontId="5" fillId="35" borderId="0" xfId="0" applyNumberFormat="1" applyFont="1" applyFill="1" applyBorder="1" applyAlignment="1">
      <alignment/>
    </xf>
    <xf numFmtId="0" fontId="5" fillId="34" borderId="13" xfId="0" applyFont="1" applyFill="1" applyBorder="1" applyAlignment="1">
      <alignment/>
    </xf>
    <xf numFmtId="0" fontId="0" fillId="34" borderId="13" xfId="0" applyFill="1" applyBorder="1" applyAlignment="1">
      <alignment/>
    </xf>
    <xf numFmtId="0" fontId="0" fillId="34" borderId="16" xfId="0" applyFill="1" applyBorder="1" applyAlignment="1">
      <alignment/>
    </xf>
    <xf numFmtId="2" fontId="5" fillId="35" borderId="17" xfId="0" applyNumberFormat="1" applyFont="1" applyFill="1" applyBorder="1" applyAlignment="1">
      <alignment/>
    </xf>
    <xf numFmtId="0" fontId="5" fillId="36" borderId="0" xfId="0" applyFont="1" applyFill="1" applyAlignment="1">
      <alignment/>
    </xf>
    <xf numFmtId="10" fontId="0" fillId="36" borderId="0" xfId="0" applyNumberFormat="1" applyFill="1" applyAlignment="1">
      <alignment/>
    </xf>
    <xf numFmtId="0" fontId="0" fillId="36" borderId="0" xfId="0" applyFill="1" applyAlignment="1">
      <alignment/>
    </xf>
    <xf numFmtId="0" fontId="6" fillId="36" borderId="0" xfId="0" applyFont="1" applyFill="1" applyAlignment="1">
      <alignment/>
    </xf>
    <xf numFmtId="169" fontId="5" fillId="36" borderId="0" xfId="0" applyNumberFormat="1" applyFont="1" applyFill="1" applyAlignment="1">
      <alignment/>
    </xf>
    <xf numFmtId="0" fontId="14" fillId="36" borderId="0" xfId="0" applyFont="1" applyFill="1" applyAlignment="1">
      <alignment/>
    </xf>
    <xf numFmtId="0" fontId="12" fillId="36" borderId="0" xfId="0" applyFont="1" applyFill="1" applyAlignment="1">
      <alignment/>
    </xf>
    <xf numFmtId="0" fontId="13" fillId="36" borderId="0" xfId="0" applyFont="1" applyFill="1" applyAlignment="1">
      <alignment/>
    </xf>
    <xf numFmtId="0" fontId="4" fillId="36" borderId="0" xfId="0" applyFont="1" applyFill="1" applyAlignment="1">
      <alignment/>
    </xf>
    <xf numFmtId="0" fontId="1" fillId="36" borderId="0" xfId="0" applyFont="1" applyFill="1" applyAlignment="1">
      <alignment/>
    </xf>
    <xf numFmtId="0" fontId="10" fillId="36" borderId="0" xfId="0" applyFont="1" applyFill="1" applyAlignment="1">
      <alignment/>
    </xf>
    <xf numFmtId="0" fontId="11" fillId="36" borderId="0" xfId="0" applyFont="1" applyFill="1" applyAlignment="1">
      <alignment/>
    </xf>
    <xf numFmtId="9" fontId="7" fillId="36" borderId="0" xfId="0" applyNumberFormat="1" applyFont="1" applyFill="1" applyAlignment="1">
      <alignment/>
    </xf>
    <xf numFmtId="10" fontId="7" fillId="36" borderId="0" xfId="0" applyNumberFormat="1" applyFont="1" applyFill="1" applyAlignment="1">
      <alignment/>
    </xf>
    <xf numFmtId="0" fontId="14" fillId="36" borderId="0" xfId="0" applyFont="1" applyFill="1" applyBorder="1" applyAlignment="1">
      <alignment/>
    </xf>
    <xf numFmtId="0" fontId="17" fillId="36" borderId="0" xfId="0" applyFont="1" applyFill="1" applyAlignment="1">
      <alignment/>
    </xf>
    <xf numFmtId="0" fontId="6" fillId="33" borderId="13" xfId="0" applyFont="1" applyFill="1" applyBorder="1" applyAlignment="1">
      <alignment/>
    </xf>
    <xf numFmtId="10" fontId="5" fillId="33" borderId="0" xfId="0" applyNumberFormat="1" applyFont="1" applyFill="1" applyBorder="1" applyAlignment="1">
      <alignment/>
    </xf>
    <xf numFmtId="0" fontId="5" fillId="34" borderId="11" xfId="0" applyFont="1" applyFill="1" applyBorder="1" applyAlignment="1">
      <alignment/>
    </xf>
    <xf numFmtId="0" fontId="5" fillId="34" borderId="12" xfId="0" applyFont="1" applyFill="1" applyBorder="1" applyAlignment="1">
      <alignment/>
    </xf>
    <xf numFmtId="0" fontId="6" fillId="34" borderId="13" xfId="0" applyFont="1" applyFill="1" applyBorder="1" applyAlignment="1">
      <alignment/>
    </xf>
    <xf numFmtId="0" fontId="6" fillId="34" borderId="15" xfId="0" applyFont="1" applyFill="1" applyBorder="1" applyAlignment="1">
      <alignment/>
    </xf>
    <xf numFmtId="0" fontId="6" fillId="34" borderId="10" xfId="0" applyFont="1" applyFill="1" applyBorder="1" applyAlignment="1">
      <alignment/>
    </xf>
    <xf numFmtId="0" fontId="18" fillId="36" borderId="0" xfId="0" applyFont="1" applyFill="1" applyAlignment="1">
      <alignment/>
    </xf>
    <xf numFmtId="0" fontId="6" fillId="36" borderId="13" xfId="0" applyFont="1" applyFill="1" applyBorder="1" applyAlignment="1">
      <alignment/>
    </xf>
    <xf numFmtId="10" fontId="7" fillId="36" borderId="0" xfId="0" applyNumberFormat="1" applyFont="1" applyFill="1" applyBorder="1" applyAlignment="1">
      <alignment/>
    </xf>
    <xf numFmtId="0" fontId="9" fillId="36" borderId="0" xfId="0" applyFont="1" applyFill="1" applyAlignment="1">
      <alignment/>
    </xf>
    <xf numFmtId="0" fontId="0" fillId="34" borderId="17" xfId="0" applyFill="1" applyBorder="1" applyAlignment="1">
      <alignment/>
    </xf>
    <xf numFmtId="0" fontId="4" fillId="33" borderId="10" xfId="0" applyFont="1" applyFill="1" applyBorder="1" applyAlignment="1">
      <alignment/>
    </xf>
    <xf numFmtId="0" fontId="0" fillId="33" borderId="12" xfId="0" applyFill="1" applyBorder="1" applyAlignment="1">
      <alignment/>
    </xf>
    <xf numFmtId="0" fontId="0" fillId="33" borderId="14" xfId="0" applyFill="1" applyBorder="1" applyAlignment="1">
      <alignment/>
    </xf>
    <xf numFmtId="3" fontId="5" fillId="33" borderId="14" xfId="0" applyNumberFormat="1" applyFont="1" applyFill="1" applyBorder="1" applyAlignment="1">
      <alignment/>
    </xf>
    <xf numFmtId="3" fontId="5" fillId="33" borderId="16" xfId="0" applyNumberFormat="1" applyFont="1" applyFill="1" applyBorder="1" applyAlignment="1">
      <alignment/>
    </xf>
    <xf numFmtId="2" fontId="5" fillId="33" borderId="14" xfId="0" applyNumberFormat="1" applyFont="1" applyFill="1" applyBorder="1" applyAlignment="1">
      <alignment/>
    </xf>
    <xf numFmtId="2" fontId="5" fillId="33" borderId="16" xfId="0" applyNumberFormat="1" applyFont="1" applyFill="1" applyBorder="1" applyAlignment="1">
      <alignment/>
    </xf>
    <xf numFmtId="0" fontId="0" fillId="36" borderId="0" xfId="0" applyFill="1" applyBorder="1" applyAlignment="1">
      <alignment/>
    </xf>
    <xf numFmtId="0" fontId="15" fillId="36" borderId="0" xfId="0" applyFont="1" applyFill="1" applyAlignment="1">
      <alignment/>
    </xf>
    <xf numFmtId="0" fontId="0" fillId="33" borderId="11" xfId="0" applyFill="1" applyBorder="1" applyAlignment="1">
      <alignment/>
    </xf>
    <xf numFmtId="167" fontId="5" fillId="33" borderId="0" xfId="0" applyNumberFormat="1" applyFont="1" applyFill="1" applyBorder="1" applyAlignment="1">
      <alignment/>
    </xf>
    <xf numFmtId="169" fontId="5" fillId="33" borderId="0" xfId="59" applyNumberFormat="1" applyFont="1" applyFill="1" applyBorder="1" applyAlignment="1">
      <alignment/>
    </xf>
    <xf numFmtId="10" fontId="5" fillId="33" borderId="0" xfId="59" applyNumberFormat="1" applyFont="1" applyFill="1" applyBorder="1" applyAlignment="1">
      <alignment/>
    </xf>
    <xf numFmtId="0" fontId="5" fillId="36" borderId="0" xfId="0" applyFont="1" applyFill="1" applyBorder="1" applyAlignment="1">
      <alignment/>
    </xf>
    <xf numFmtId="0" fontId="16" fillId="36" borderId="0" xfId="0" applyFont="1" applyFill="1" applyAlignment="1">
      <alignment/>
    </xf>
    <xf numFmtId="0" fontId="10" fillId="34" borderId="18" xfId="0" applyFont="1" applyFill="1" applyBorder="1" applyAlignment="1" applyProtection="1">
      <alignment horizontal="center"/>
      <protection hidden="1"/>
    </xf>
    <xf numFmtId="0" fontId="5" fillId="36" borderId="0" xfId="0" applyFont="1" applyFill="1" applyBorder="1" applyAlignment="1" applyProtection="1">
      <alignment/>
      <protection hidden="1" locked="0"/>
    </xf>
    <xf numFmtId="1" fontId="5" fillId="36" borderId="0" xfId="0" applyNumberFormat="1" applyFont="1" applyFill="1" applyBorder="1" applyAlignment="1" applyProtection="1">
      <alignment/>
      <protection hidden="1"/>
    </xf>
    <xf numFmtId="0" fontId="5" fillId="36" borderId="0" xfId="0" applyFont="1" applyFill="1" applyBorder="1" applyAlignment="1" applyProtection="1">
      <alignment/>
      <protection hidden="1"/>
    </xf>
    <xf numFmtId="0" fontId="14" fillId="36" borderId="0" xfId="0" applyFont="1" applyFill="1" applyBorder="1" applyAlignment="1" applyProtection="1">
      <alignment/>
      <protection hidden="1"/>
    </xf>
    <xf numFmtId="9" fontId="21" fillId="36" borderId="0" xfId="0" applyNumberFormat="1" applyFont="1" applyFill="1" applyBorder="1" applyAlignment="1" applyProtection="1">
      <alignment/>
      <protection hidden="1" locked="0"/>
    </xf>
    <xf numFmtId="0" fontId="21" fillId="36" borderId="0" xfId="0" applyFont="1" applyFill="1" applyBorder="1" applyAlignment="1" applyProtection="1">
      <alignment/>
      <protection hidden="1"/>
    </xf>
    <xf numFmtId="0" fontId="10" fillId="34" borderId="18" xfId="0" applyFont="1" applyFill="1" applyBorder="1" applyAlignment="1" applyProtection="1">
      <alignment horizontal="right"/>
      <protection hidden="1"/>
    </xf>
    <xf numFmtId="0" fontId="10" fillId="33" borderId="18" xfId="0" applyFont="1" applyFill="1" applyBorder="1" applyAlignment="1" applyProtection="1">
      <alignment horizontal="right"/>
      <protection hidden="1"/>
    </xf>
    <xf numFmtId="1" fontId="5" fillId="33" borderId="18" xfId="0" applyNumberFormat="1" applyFont="1" applyFill="1" applyBorder="1" applyAlignment="1" applyProtection="1">
      <alignment/>
      <protection hidden="1"/>
    </xf>
    <xf numFmtId="0" fontId="5" fillId="33" borderId="18" xfId="0" applyFont="1" applyFill="1" applyBorder="1" applyAlignment="1" applyProtection="1">
      <alignment/>
      <protection hidden="1"/>
    </xf>
    <xf numFmtId="0" fontId="10" fillId="33" borderId="18" xfId="0" applyFont="1" applyFill="1" applyBorder="1" applyAlignment="1" applyProtection="1">
      <alignment horizontal="center"/>
      <protection hidden="1"/>
    </xf>
    <xf numFmtId="0" fontId="5" fillId="33" borderId="18" xfId="0" applyFont="1" applyFill="1" applyBorder="1" applyAlignment="1">
      <alignment/>
    </xf>
    <xf numFmtId="1" fontId="5" fillId="33" borderId="18" xfId="0" applyNumberFormat="1" applyFont="1" applyFill="1" applyBorder="1" applyAlignment="1">
      <alignment/>
    </xf>
    <xf numFmtId="0" fontId="5" fillId="36" borderId="0" xfId="0" applyFont="1" applyFill="1" applyAlignment="1" applyProtection="1">
      <alignment/>
      <protection hidden="1"/>
    </xf>
    <xf numFmtId="9" fontId="4" fillId="34" borderId="18" xfId="0" applyNumberFormat="1" applyFont="1" applyFill="1" applyBorder="1" applyAlignment="1" applyProtection="1">
      <alignment horizontal="right"/>
      <protection hidden="1" locked="0"/>
    </xf>
    <xf numFmtId="0" fontId="4" fillId="33" borderId="18" xfId="0" applyFont="1" applyFill="1" applyBorder="1" applyAlignment="1" applyProtection="1">
      <alignment horizontal="right"/>
      <protection hidden="1"/>
    </xf>
    <xf numFmtId="0" fontId="0" fillId="34" borderId="18" xfId="0" applyFill="1" applyBorder="1" applyAlignment="1">
      <alignment/>
    </xf>
    <xf numFmtId="0" fontId="14" fillId="36" borderId="0" xfId="0" applyFont="1" applyFill="1" applyAlignment="1" applyProtection="1">
      <alignment/>
      <protection hidden="1"/>
    </xf>
    <xf numFmtId="0" fontId="10" fillId="34" borderId="18" xfId="0" applyFont="1" applyFill="1" applyBorder="1" applyAlignment="1" applyProtection="1">
      <alignment/>
      <protection hidden="1"/>
    </xf>
    <xf numFmtId="9" fontId="4" fillId="34" borderId="18" xfId="0" applyNumberFormat="1" applyFont="1" applyFill="1" applyBorder="1" applyAlignment="1" applyProtection="1">
      <alignment horizontal="left"/>
      <protection hidden="1" locked="0"/>
    </xf>
    <xf numFmtId="4" fontId="5" fillId="33" borderId="14" xfId="0" applyNumberFormat="1" applyFont="1" applyFill="1" applyBorder="1" applyAlignment="1">
      <alignment/>
    </xf>
    <xf numFmtId="166" fontId="5" fillId="33" borderId="0" xfId="0" applyNumberFormat="1" applyFont="1" applyFill="1" applyBorder="1" applyAlignment="1">
      <alignment/>
    </xf>
    <xf numFmtId="169" fontId="5" fillId="33" borderId="17" xfId="59" applyNumberFormat="1" applyFont="1" applyFill="1" applyBorder="1" applyAlignment="1">
      <alignment/>
    </xf>
    <xf numFmtId="9" fontId="5" fillId="36" borderId="0" xfId="59" applyFont="1" applyFill="1" applyAlignment="1">
      <alignment/>
    </xf>
    <xf numFmtId="9" fontId="5" fillId="33" borderId="0" xfId="59" applyFont="1" applyFill="1" applyBorder="1" applyAlignment="1">
      <alignment/>
    </xf>
    <xf numFmtId="9" fontId="5" fillId="33" borderId="17" xfId="59" applyFont="1" applyFill="1" applyBorder="1" applyAlignment="1">
      <alignment/>
    </xf>
    <xf numFmtId="3" fontId="5" fillId="33" borderId="0" xfId="0" applyNumberFormat="1" applyFont="1" applyFill="1" applyBorder="1" applyAlignment="1">
      <alignment/>
    </xf>
    <xf numFmtId="3" fontId="5" fillId="33" borderId="17" xfId="0" applyNumberFormat="1" applyFont="1" applyFill="1" applyBorder="1" applyAlignment="1">
      <alignment/>
    </xf>
    <xf numFmtId="9" fontId="14" fillId="36" borderId="0" xfId="59" applyFont="1" applyFill="1" applyBorder="1" applyAlignment="1">
      <alignment/>
    </xf>
    <xf numFmtId="0" fontId="17" fillId="36" borderId="0" xfId="0" applyFont="1" applyFill="1" applyBorder="1" applyAlignment="1" applyProtection="1">
      <alignment/>
      <protection hidden="1"/>
    </xf>
    <xf numFmtId="0" fontId="25" fillId="36" borderId="0" xfId="0" applyFont="1" applyFill="1" applyAlignment="1">
      <alignment/>
    </xf>
    <xf numFmtId="0" fontId="25" fillId="0" borderId="0" xfId="0" applyFont="1" applyAlignment="1">
      <alignment/>
    </xf>
    <xf numFmtId="10" fontId="25" fillId="36" borderId="0" xfId="0" applyNumberFormat="1" applyFont="1" applyFill="1" applyBorder="1" applyAlignment="1">
      <alignment/>
    </xf>
    <xf numFmtId="0" fontId="25" fillId="0" borderId="0" xfId="0" applyFont="1" applyFill="1" applyAlignment="1">
      <alignment/>
    </xf>
    <xf numFmtId="0" fontId="0" fillId="33" borderId="0" xfId="0" applyFill="1" applyBorder="1" applyAlignment="1">
      <alignment/>
    </xf>
    <xf numFmtId="0" fontId="14" fillId="33" borderId="0" xfId="0" applyFont="1" applyFill="1" applyBorder="1" applyAlignment="1">
      <alignment/>
    </xf>
    <xf numFmtId="0" fontId="0" fillId="33" borderId="13" xfId="0" applyFill="1" applyBorder="1" applyAlignment="1">
      <alignment/>
    </xf>
    <xf numFmtId="0" fontId="14" fillId="33" borderId="14" xfId="0" applyFont="1" applyFill="1" applyBorder="1" applyAlignment="1">
      <alignment/>
    </xf>
    <xf numFmtId="1" fontId="5" fillId="33" borderId="0" xfId="0" applyNumberFormat="1" applyFont="1" applyFill="1" applyBorder="1" applyAlignment="1">
      <alignment/>
    </xf>
    <xf numFmtId="1" fontId="5" fillId="33" borderId="17" xfId="0" applyNumberFormat="1" applyFont="1" applyFill="1" applyBorder="1" applyAlignment="1">
      <alignment/>
    </xf>
    <xf numFmtId="0" fontId="8" fillId="33" borderId="13" xfId="0" applyFont="1" applyFill="1" applyBorder="1" applyAlignment="1">
      <alignment/>
    </xf>
    <xf numFmtId="3" fontId="5" fillId="36" borderId="0" xfId="0" applyNumberFormat="1" applyFont="1" applyFill="1" applyBorder="1" applyAlignment="1">
      <alignment/>
    </xf>
    <xf numFmtId="2" fontId="5" fillId="36" borderId="0" xfId="0" applyNumberFormat="1" applyFont="1" applyFill="1" applyBorder="1" applyAlignment="1">
      <alignment/>
    </xf>
    <xf numFmtId="173" fontId="5" fillId="36" borderId="0" xfId="0" applyNumberFormat="1" applyFont="1" applyFill="1" applyBorder="1" applyAlignment="1">
      <alignment/>
    </xf>
    <xf numFmtId="10" fontId="0" fillId="36" borderId="0" xfId="0" applyNumberFormat="1" applyFill="1" applyBorder="1" applyAlignment="1">
      <alignment/>
    </xf>
    <xf numFmtId="4" fontId="5" fillId="33" borderId="16" xfId="0" applyNumberFormat="1" applyFont="1" applyFill="1" applyBorder="1" applyAlignment="1">
      <alignment/>
    </xf>
    <xf numFmtId="0" fontId="26" fillId="36" borderId="0" xfId="0" applyFont="1" applyFill="1" applyAlignment="1">
      <alignment/>
    </xf>
    <xf numFmtId="10" fontId="27" fillId="34" borderId="17" xfId="0" applyNumberFormat="1" applyFont="1" applyFill="1" applyBorder="1" applyAlignment="1" applyProtection="1">
      <alignment/>
      <protection locked="0"/>
    </xf>
    <xf numFmtId="10" fontId="27" fillId="34" borderId="0" xfId="0" applyNumberFormat="1" applyFont="1" applyFill="1" applyBorder="1" applyAlignment="1" applyProtection="1">
      <alignment/>
      <protection locked="0"/>
    </xf>
    <xf numFmtId="0" fontId="28" fillId="36" borderId="0" xfId="0" applyFont="1" applyFill="1" applyAlignment="1">
      <alignment/>
    </xf>
    <xf numFmtId="0" fontId="0" fillId="36" borderId="0" xfId="0" applyFont="1" applyFill="1" applyAlignment="1">
      <alignment/>
    </xf>
    <xf numFmtId="2" fontId="27" fillId="34" borderId="14" xfId="0" applyNumberFormat="1" applyFont="1" applyFill="1" applyBorder="1" applyAlignment="1" applyProtection="1">
      <alignment horizontal="right"/>
      <protection locked="0"/>
    </xf>
    <xf numFmtId="2" fontId="27" fillId="34" borderId="16" xfId="0" applyNumberFormat="1" applyFont="1" applyFill="1" applyBorder="1" applyAlignment="1" applyProtection="1">
      <alignment horizontal="right"/>
      <protection locked="0"/>
    </xf>
    <xf numFmtId="3" fontId="27" fillId="34" borderId="14" xfId="0" applyNumberFormat="1" applyFont="1" applyFill="1" applyBorder="1" applyAlignment="1" applyProtection="1">
      <alignment/>
      <protection locked="0"/>
    </xf>
    <xf numFmtId="4" fontId="27" fillId="34" borderId="14" xfId="0" applyNumberFormat="1" applyFont="1" applyFill="1" applyBorder="1" applyAlignment="1" applyProtection="1">
      <alignment/>
      <protection locked="0"/>
    </xf>
    <xf numFmtId="2" fontId="27" fillId="34" borderId="0" xfId="0" applyNumberFormat="1" applyFont="1" applyFill="1" applyBorder="1" applyAlignment="1" applyProtection="1">
      <alignment/>
      <protection locked="0"/>
    </xf>
    <xf numFmtId="0" fontId="28" fillId="36" borderId="0" xfId="0" applyFont="1" applyFill="1" applyBorder="1" applyAlignment="1">
      <alignment/>
    </xf>
    <xf numFmtId="0" fontId="27" fillId="34" borderId="17" xfId="0" applyFont="1" applyFill="1" applyBorder="1" applyAlignment="1" applyProtection="1">
      <alignment/>
      <protection locked="0"/>
    </xf>
    <xf numFmtId="0" fontId="28" fillId="0" borderId="0" xfId="0" applyFont="1" applyBorder="1" applyAlignment="1" applyProtection="1">
      <alignment/>
      <protection hidden="1"/>
    </xf>
    <xf numFmtId="2" fontId="27" fillId="34" borderId="17" xfId="0" applyNumberFormat="1" applyFont="1" applyFill="1" applyBorder="1" applyAlignment="1" applyProtection="1">
      <alignment/>
      <protection locked="0"/>
    </xf>
    <xf numFmtId="0" fontId="4" fillId="37" borderId="18" xfId="0" applyFont="1" applyFill="1" applyBorder="1" applyAlignment="1" applyProtection="1">
      <alignment/>
      <protection hidden="1"/>
    </xf>
    <xf numFmtId="0" fontId="10" fillId="37" borderId="18" xfId="0" applyFont="1" applyFill="1" applyBorder="1" applyAlignment="1" applyProtection="1">
      <alignment/>
      <protection hidden="1"/>
    </xf>
    <xf numFmtId="0" fontId="5" fillId="37" borderId="18" xfId="0" applyFont="1" applyFill="1" applyBorder="1" applyAlignment="1" applyProtection="1">
      <alignment/>
      <protection hidden="1"/>
    </xf>
    <xf numFmtId="0" fontId="25" fillId="36" borderId="0" xfId="0" applyFont="1" applyFill="1" applyBorder="1" applyAlignment="1">
      <alignment/>
    </xf>
    <xf numFmtId="0" fontId="4" fillId="34" borderId="11" xfId="0" applyFont="1" applyFill="1" applyBorder="1" applyAlignment="1">
      <alignment/>
    </xf>
    <xf numFmtId="0" fontId="0" fillId="34" borderId="0" xfId="0" applyFill="1" applyAlignment="1">
      <alignment/>
    </xf>
    <xf numFmtId="0" fontId="10" fillId="34" borderId="0" xfId="0" applyFont="1" applyFill="1" applyAlignment="1">
      <alignment/>
    </xf>
    <xf numFmtId="0" fontId="10" fillId="34" borderId="19" xfId="0" applyFont="1" applyFill="1" applyBorder="1" applyAlignment="1">
      <alignment/>
    </xf>
    <xf numFmtId="0" fontId="8" fillId="38" borderId="10" xfId="0" applyFont="1" applyFill="1" applyBorder="1" applyAlignment="1">
      <alignment/>
    </xf>
    <xf numFmtId="0" fontId="8" fillId="38" borderId="11" xfId="0" applyFont="1" applyFill="1" applyBorder="1" applyAlignment="1">
      <alignment/>
    </xf>
    <xf numFmtId="0" fontId="5" fillId="38" borderId="12" xfId="0" applyFont="1" applyFill="1" applyBorder="1" applyAlignment="1">
      <alignment/>
    </xf>
    <xf numFmtId="0" fontId="9" fillId="38" borderId="13" xfId="0" applyFont="1" applyFill="1" applyBorder="1" applyAlignment="1">
      <alignment/>
    </xf>
    <xf numFmtId="0" fontId="5" fillId="38" borderId="0" xfId="0" applyFont="1" applyFill="1" applyAlignment="1">
      <alignment/>
    </xf>
    <xf numFmtId="0" fontId="5" fillId="38" borderId="14" xfId="0" applyFont="1" applyFill="1" applyBorder="1" applyAlignment="1">
      <alignment/>
    </xf>
    <xf numFmtId="0" fontId="10" fillId="38" borderId="13" xfId="0" applyFont="1" applyFill="1" applyBorder="1" applyAlignment="1">
      <alignment/>
    </xf>
    <xf numFmtId="0" fontId="5" fillId="38" borderId="13" xfId="0" applyFont="1" applyFill="1" applyBorder="1" applyAlignment="1">
      <alignment/>
    </xf>
    <xf numFmtId="0" fontId="10" fillId="38" borderId="0" xfId="0" applyFont="1" applyFill="1" applyAlignment="1">
      <alignment/>
    </xf>
    <xf numFmtId="0" fontId="5" fillId="38" borderId="15" xfId="0" applyFont="1" applyFill="1" applyBorder="1" applyAlignment="1">
      <alignment/>
    </xf>
    <xf numFmtId="0" fontId="5" fillId="38" borderId="16" xfId="0" applyFont="1" applyFill="1" applyBorder="1" applyAlignment="1">
      <alignment/>
    </xf>
    <xf numFmtId="0" fontId="5" fillId="34" borderId="0" xfId="0" applyFont="1" applyFill="1" applyAlignment="1">
      <alignment/>
    </xf>
    <xf numFmtId="0" fontId="10" fillId="34" borderId="18" xfId="0" applyFont="1" applyFill="1" applyBorder="1" applyAlignment="1" applyProtection="1">
      <alignment horizontal="center" vertical="center" wrapText="1"/>
      <protection hidden="1"/>
    </xf>
    <xf numFmtId="0" fontId="10" fillId="37" borderId="18" xfId="0" applyFont="1" applyFill="1" applyBorder="1" applyAlignment="1" applyProtection="1">
      <alignment horizontal="left" vertical="center"/>
      <protection hidden="1"/>
    </xf>
    <xf numFmtId="0" fontId="10" fillId="33" borderId="18" xfId="0" applyFont="1" applyFill="1" applyBorder="1" applyAlignment="1" applyProtection="1">
      <alignment horizontal="center" vertical="center" wrapText="1"/>
      <protection hidden="1"/>
    </xf>
    <xf numFmtId="0" fontId="10" fillId="37" borderId="18" xfId="0" applyFont="1" applyFill="1" applyBorder="1" applyAlignment="1" applyProtection="1">
      <alignment vertical="center"/>
      <protection hidden="1"/>
    </xf>
    <xf numFmtId="0" fontId="10" fillId="34" borderId="18" xfId="0"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center"/>
      <protection hidden="1"/>
    </xf>
    <xf numFmtId="0" fontId="5" fillId="36" borderId="13" xfId="0" applyFont="1" applyFill="1" applyBorder="1" applyAlignment="1">
      <alignment/>
    </xf>
    <xf numFmtId="0" fontId="26" fillId="36" borderId="0" xfId="0" applyFont="1" applyFill="1" applyAlignment="1">
      <alignment horizontal="left"/>
    </xf>
    <xf numFmtId="0" fontId="26" fillId="36" borderId="0" xfId="0" applyFont="1" applyFill="1" applyBorder="1" applyAlignment="1">
      <alignment horizontal="left"/>
    </xf>
    <xf numFmtId="0" fontId="26" fillId="36" borderId="13" xfId="0" applyFont="1" applyFill="1" applyBorder="1" applyAlignment="1">
      <alignment horizontal="left"/>
    </xf>
    <xf numFmtId="168" fontId="27" fillId="34" borderId="17" xfId="59" applyNumberFormat="1" applyFont="1" applyFill="1" applyBorder="1" applyAlignment="1" applyProtection="1">
      <alignment/>
      <protection locked="0"/>
    </xf>
    <xf numFmtId="168" fontId="27" fillId="34" borderId="17" xfId="0" applyNumberFormat="1" applyFont="1" applyFill="1" applyBorder="1" applyAlignment="1" applyProtection="1">
      <alignment/>
      <protection locked="0"/>
    </xf>
    <xf numFmtId="10" fontId="5" fillId="34" borderId="17" xfId="0" applyNumberFormat="1" applyFont="1" applyFill="1" applyBorder="1" applyAlignment="1" applyProtection="1">
      <alignment/>
      <protection/>
    </xf>
    <xf numFmtId="3" fontId="27" fillId="34" borderId="16" xfId="0" applyNumberFormat="1" applyFont="1" applyFill="1" applyBorder="1" applyAlignment="1" applyProtection="1">
      <alignment/>
      <protection locked="0"/>
    </xf>
    <xf numFmtId="4" fontId="27" fillId="34" borderId="16" xfId="0" applyNumberFormat="1" applyFont="1" applyFill="1" applyBorder="1" applyAlignment="1" applyProtection="1">
      <alignment/>
      <protection locked="0"/>
    </xf>
    <xf numFmtId="0" fontId="27" fillId="34" borderId="14" xfId="0" applyFont="1" applyFill="1" applyBorder="1" applyAlignment="1" applyProtection="1">
      <alignment/>
      <protection locked="0"/>
    </xf>
    <xf numFmtId="9" fontId="27" fillId="34" borderId="18" xfId="0" applyNumberFormat="1" applyFont="1" applyFill="1" applyBorder="1" applyAlignment="1" applyProtection="1">
      <alignment/>
      <protection locked="0"/>
    </xf>
    <xf numFmtId="0" fontId="27" fillId="34" borderId="18" xfId="0" applyFont="1" applyFill="1" applyBorder="1" applyAlignment="1" applyProtection="1">
      <alignment/>
      <protection locked="0"/>
    </xf>
    <xf numFmtId="1" fontId="27" fillId="34" borderId="18" xfId="0" applyNumberFormat="1" applyFont="1" applyFill="1" applyBorder="1" applyAlignment="1" applyProtection="1">
      <alignment/>
      <protection locked="0"/>
    </xf>
    <xf numFmtId="9" fontId="21" fillId="34" borderId="0" xfId="0" applyNumberFormat="1" applyFont="1" applyFill="1" applyBorder="1" applyAlignment="1" applyProtection="1">
      <alignment/>
      <protection hidden="1" locked="0"/>
    </xf>
    <xf numFmtId="9" fontId="21" fillId="34" borderId="11" xfId="0" applyNumberFormat="1" applyFont="1" applyFill="1" applyBorder="1" applyAlignment="1" applyProtection="1">
      <alignment/>
      <protection hidden="1" locked="0"/>
    </xf>
    <xf numFmtId="0" fontId="5" fillId="34" borderId="12" xfId="0" applyFont="1" applyFill="1" applyBorder="1" applyAlignment="1" applyProtection="1">
      <alignment/>
      <protection hidden="1"/>
    </xf>
    <xf numFmtId="0" fontId="5" fillId="34" borderId="14" xfId="0" applyFont="1" applyFill="1" applyBorder="1" applyAlignment="1" applyProtection="1">
      <alignment/>
      <protection hidden="1"/>
    </xf>
    <xf numFmtId="0" fontId="5" fillId="34" borderId="15" xfId="0" applyFont="1" applyFill="1" applyBorder="1" applyAlignment="1" applyProtection="1">
      <alignment/>
      <protection hidden="1"/>
    </xf>
    <xf numFmtId="0" fontId="5" fillId="34" borderId="16" xfId="0" applyFont="1" applyFill="1" applyBorder="1" applyAlignment="1" applyProtection="1">
      <alignment/>
      <protection hidden="1"/>
    </xf>
    <xf numFmtId="168" fontId="27" fillId="34" borderId="17" xfId="0" applyNumberFormat="1" applyFont="1" applyFill="1" applyBorder="1" applyAlignment="1" applyProtection="1">
      <alignment/>
      <protection hidden="1" locked="0"/>
    </xf>
    <xf numFmtId="1" fontId="5" fillId="33" borderId="18" xfId="0" applyNumberFormat="1" applyFont="1" applyFill="1" applyBorder="1" applyAlignment="1" applyProtection="1">
      <alignment/>
      <protection/>
    </xf>
    <xf numFmtId="168" fontId="27" fillId="34" borderId="0" xfId="0" applyNumberFormat="1" applyFont="1" applyFill="1" applyBorder="1" applyAlignment="1" applyProtection="1">
      <alignment/>
      <protection locked="0"/>
    </xf>
    <xf numFmtId="0" fontId="26" fillId="35" borderId="0" xfId="0" applyFont="1" applyFill="1" applyAlignment="1">
      <alignment/>
    </xf>
    <xf numFmtId="167" fontId="5" fillId="33" borderId="0" xfId="59" applyNumberFormat="1" applyFont="1" applyFill="1" applyBorder="1" applyAlignment="1">
      <alignment/>
    </xf>
    <xf numFmtId="2" fontId="5" fillId="33" borderId="0" xfId="0" applyNumberFormat="1" applyFont="1" applyFill="1" applyAlignment="1">
      <alignment horizontal="right"/>
    </xf>
    <xf numFmtId="2" fontId="5" fillId="35" borderId="0" xfId="0" applyNumberFormat="1" applyFont="1" applyFill="1" applyBorder="1" applyAlignment="1">
      <alignment horizontal="right"/>
    </xf>
    <xf numFmtId="2" fontId="5" fillId="33" borderId="17" xfId="0" applyNumberFormat="1" applyFont="1" applyFill="1" applyBorder="1" applyAlignment="1">
      <alignment horizontal="right"/>
    </xf>
    <xf numFmtId="2" fontId="5" fillId="35" borderId="17" xfId="0" applyNumberFormat="1" applyFont="1" applyFill="1" applyBorder="1" applyAlignment="1">
      <alignment horizontal="right"/>
    </xf>
    <xf numFmtId="0" fontId="0" fillId="0" borderId="0" xfId="0" applyBorder="1" applyAlignment="1">
      <alignment/>
    </xf>
    <xf numFmtId="0" fontId="4" fillId="39" borderId="10" xfId="0" applyFont="1" applyFill="1" applyBorder="1" applyAlignment="1">
      <alignment/>
    </xf>
    <xf numFmtId="0" fontId="0" fillId="39" borderId="11" xfId="0" applyFill="1" applyBorder="1" applyAlignment="1">
      <alignment/>
    </xf>
    <xf numFmtId="0" fontId="0" fillId="39" borderId="12" xfId="0" applyFill="1" applyBorder="1" applyAlignment="1">
      <alignment/>
    </xf>
    <xf numFmtId="0" fontId="6" fillId="39" borderId="13" xfId="0" applyFont="1" applyFill="1" applyBorder="1" applyAlignment="1">
      <alignment/>
    </xf>
    <xf numFmtId="0" fontId="5" fillId="39" borderId="0" xfId="0" applyFont="1" applyFill="1" applyBorder="1" applyAlignment="1">
      <alignment/>
    </xf>
    <xf numFmtId="0" fontId="0" fillId="39" borderId="0" xfId="0" applyFill="1" applyBorder="1" applyAlignment="1">
      <alignment/>
    </xf>
    <xf numFmtId="0" fontId="0" fillId="39" borderId="14" xfId="0" applyFill="1" applyBorder="1" applyAlignment="1">
      <alignment/>
    </xf>
    <xf numFmtId="0" fontId="6" fillId="39" borderId="15" xfId="0" applyFont="1" applyFill="1" applyBorder="1" applyAlignment="1">
      <alignment/>
    </xf>
    <xf numFmtId="10" fontId="5" fillId="39" borderId="17" xfId="0" applyNumberFormat="1" applyFont="1" applyFill="1" applyBorder="1" applyAlignment="1" applyProtection="1">
      <alignment/>
      <protection locked="0"/>
    </xf>
    <xf numFmtId="0" fontId="5" fillId="39" borderId="17" xfId="0" applyFont="1" applyFill="1" applyBorder="1" applyAlignment="1">
      <alignment/>
    </xf>
    <xf numFmtId="0" fontId="0" fillId="39" borderId="17" xfId="0" applyFill="1" applyBorder="1" applyAlignment="1">
      <alignment/>
    </xf>
    <xf numFmtId="0" fontId="0" fillId="39" borderId="16" xfId="0" applyFill="1" applyBorder="1" applyAlignment="1">
      <alignment/>
    </xf>
    <xf numFmtId="0" fontId="14" fillId="39" borderId="11" xfId="0" applyFont="1" applyFill="1" applyBorder="1" applyAlignment="1">
      <alignment/>
    </xf>
    <xf numFmtId="0" fontId="14" fillId="39" borderId="12" xfId="0" applyFont="1" applyFill="1" applyBorder="1" applyAlignment="1">
      <alignment/>
    </xf>
    <xf numFmtId="0" fontId="5" fillId="39" borderId="15" xfId="0" applyFont="1" applyFill="1" applyBorder="1" applyAlignment="1">
      <alignment/>
    </xf>
    <xf numFmtId="0" fontId="14" fillId="39" borderId="16" xfId="0" applyFont="1" applyFill="1" applyBorder="1" applyAlignment="1">
      <alignment/>
    </xf>
    <xf numFmtId="0" fontId="5" fillId="39" borderId="13" xfId="0" applyFont="1" applyFill="1" applyBorder="1" applyAlignment="1">
      <alignment/>
    </xf>
    <xf numFmtId="0" fontId="5" fillId="39" borderId="14" xfId="0" applyFont="1" applyFill="1" applyBorder="1" applyAlignment="1">
      <alignment/>
    </xf>
    <xf numFmtId="0" fontId="10" fillId="39" borderId="13" xfId="0" applyFont="1" applyFill="1" applyBorder="1" applyAlignment="1">
      <alignment/>
    </xf>
    <xf numFmtId="0" fontId="5" fillId="39" borderId="16" xfId="0" applyFont="1" applyFill="1" applyBorder="1" applyAlignment="1">
      <alignment/>
    </xf>
    <xf numFmtId="0" fontId="4" fillId="39" borderId="13" xfId="0" applyFont="1" applyFill="1" applyBorder="1" applyAlignment="1">
      <alignment/>
    </xf>
    <xf numFmtId="0" fontId="5" fillId="39" borderId="12" xfId="0" applyFont="1" applyFill="1" applyBorder="1" applyAlignment="1">
      <alignment/>
    </xf>
    <xf numFmtId="168" fontId="5" fillId="39" borderId="17" xfId="59" applyNumberFormat="1" applyFont="1" applyFill="1" applyBorder="1" applyAlignment="1" applyProtection="1">
      <alignment/>
      <protection locked="0"/>
    </xf>
    <xf numFmtId="168" fontId="5" fillId="39" borderId="17" xfId="0" applyNumberFormat="1" applyFont="1" applyFill="1" applyBorder="1" applyAlignment="1" applyProtection="1">
      <alignment/>
      <protection locked="0"/>
    </xf>
    <xf numFmtId="2" fontId="5" fillId="39" borderId="17" xfId="0" applyNumberFormat="1" applyFont="1" applyFill="1" applyBorder="1" applyAlignment="1" applyProtection="1">
      <alignment/>
      <protection locked="0"/>
    </xf>
    <xf numFmtId="0" fontId="5" fillId="39" borderId="11" xfId="0" applyFont="1" applyFill="1" applyBorder="1" applyAlignment="1">
      <alignment/>
    </xf>
    <xf numFmtId="168" fontId="5" fillId="39" borderId="0" xfId="59" applyNumberFormat="1" applyFont="1" applyFill="1" applyBorder="1" applyAlignment="1">
      <alignment/>
    </xf>
    <xf numFmtId="2" fontId="5" fillId="39" borderId="0" xfId="0" applyNumberFormat="1" applyFont="1" applyFill="1" applyBorder="1" applyAlignment="1">
      <alignment/>
    </xf>
    <xf numFmtId="0" fontId="16" fillId="36" borderId="0" xfId="0" applyFont="1" applyFill="1" applyBorder="1" applyAlignment="1">
      <alignment horizontal="left"/>
    </xf>
    <xf numFmtId="10" fontId="27" fillId="34" borderId="11" xfId="0" applyNumberFormat="1" applyFont="1" applyFill="1" applyBorder="1" applyAlignment="1" applyProtection="1">
      <alignment/>
      <protection locked="0"/>
    </xf>
    <xf numFmtId="0" fontId="5" fillId="33" borderId="20" xfId="0" applyFont="1" applyFill="1" applyBorder="1" applyAlignment="1">
      <alignment/>
    </xf>
    <xf numFmtId="2" fontId="5" fillId="33" borderId="21" xfId="0" applyNumberFormat="1" applyFont="1" applyFill="1" applyBorder="1" applyAlignment="1">
      <alignment/>
    </xf>
    <xf numFmtId="2" fontId="27" fillId="36" borderId="0" xfId="0" applyNumberFormat="1" applyFont="1" applyFill="1" applyBorder="1" applyAlignment="1" applyProtection="1">
      <alignment horizontal="right"/>
      <protection locked="0"/>
    </xf>
    <xf numFmtId="4" fontId="5" fillId="36" borderId="0" xfId="0" applyNumberFormat="1" applyFont="1" applyFill="1" applyBorder="1" applyAlignment="1">
      <alignment/>
    </xf>
    <xf numFmtId="169" fontId="5" fillId="39" borderId="0" xfId="0" applyNumberFormat="1" applyFont="1" applyFill="1" applyBorder="1" applyAlignment="1" applyProtection="1">
      <alignment/>
      <protection/>
    </xf>
    <xf numFmtId="10" fontId="5" fillId="39" borderId="17" xfId="0" applyNumberFormat="1" applyFont="1" applyFill="1" applyBorder="1" applyAlignment="1" applyProtection="1">
      <alignment/>
      <protection/>
    </xf>
    <xf numFmtId="2" fontId="27" fillId="34" borderId="14" xfId="0" applyNumberFormat="1" applyFont="1" applyFill="1" applyBorder="1" applyAlignment="1" applyProtection="1">
      <alignment/>
      <protection locked="0"/>
    </xf>
    <xf numFmtId="10" fontId="5" fillId="39" borderId="0" xfId="0" applyNumberFormat="1" applyFont="1" applyFill="1" applyBorder="1" applyAlignment="1" applyProtection="1">
      <alignment/>
      <protection/>
    </xf>
    <xf numFmtId="169" fontId="5" fillId="39" borderId="17" xfId="0" applyNumberFormat="1" applyFont="1" applyFill="1" applyBorder="1" applyAlignment="1" applyProtection="1">
      <alignment/>
      <protection/>
    </xf>
    <xf numFmtId="0" fontId="31" fillId="36" borderId="0" xfId="0" applyFont="1" applyFill="1" applyAlignment="1">
      <alignment/>
    </xf>
    <xf numFmtId="0" fontId="26" fillId="34" borderId="0" xfId="0" applyFont="1" applyFill="1" applyAlignment="1">
      <alignment/>
    </xf>
    <xf numFmtId="0" fontId="26" fillId="33" borderId="0" xfId="0" applyFont="1" applyFill="1" applyAlignment="1">
      <alignment/>
    </xf>
    <xf numFmtId="0" fontId="26" fillId="39" borderId="0" xfId="0" applyFont="1" applyFill="1" applyAlignment="1">
      <alignment/>
    </xf>
    <xf numFmtId="0" fontId="26" fillId="37" borderId="0" xfId="0" applyFont="1" applyFill="1" applyAlignment="1">
      <alignment/>
    </xf>
    <xf numFmtId="0" fontId="32" fillId="36" borderId="0" xfId="0" applyFont="1" applyFill="1" applyAlignment="1">
      <alignment/>
    </xf>
    <xf numFmtId="0" fontId="33" fillId="36" borderId="0" xfId="0" applyFont="1" applyFill="1" applyAlignment="1">
      <alignment/>
    </xf>
    <xf numFmtId="0" fontId="26" fillId="36" borderId="0" xfId="0" applyFont="1" applyFill="1" applyBorder="1" applyAlignment="1">
      <alignment/>
    </xf>
    <xf numFmtId="10" fontId="5" fillId="36" borderId="0" xfId="0" applyNumberFormat="1" applyFont="1" applyFill="1" applyBorder="1" applyAlignment="1">
      <alignment/>
    </xf>
    <xf numFmtId="0" fontId="33" fillId="36" borderId="0" xfId="0" applyFont="1" applyFill="1" applyBorder="1" applyAlignment="1">
      <alignment/>
    </xf>
    <xf numFmtId="0" fontId="34" fillId="36" borderId="0" xfId="0" applyFont="1" applyFill="1" applyAlignment="1">
      <alignment/>
    </xf>
    <xf numFmtId="0" fontId="30" fillId="36" borderId="0" xfId="0" applyFont="1" applyFill="1" applyAlignment="1">
      <alignment/>
    </xf>
    <xf numFmtId="0" fontId="35" fillId="36" borderId="0" xfId="0" applyFont="1" applyFill="1" applyAlignment="1">
      <alignment/>
    </xf>
    <xf numFmtId="0" fontId="36" fillId="36" borderId="0" xfId="0" applyFont="1" applyFill="1" applyAlignment="1">
      <alignment/>
    </xf>
    <xf numFmtId="0" fontId="26" fillId="36" borderId="0" xfId="0" applyFont="1" applyFill="1" applyAlignment="1">
      <alignment wrapText="1"/>
    </xf>
    <xf numFmtId="0" fontId="0" fillId="36" borderId="0" xfId="0" applyFill="1" applyAlignment="1">
      <alignment wrapText="1"/>
    </xf>
    <xf numFmtId="0" fontId="33" fillId="36" borderId="0" xfId="0" applyFont="1" applyFill="1" applyBorder="1" applyAlignment="1">
      <alignment wrapText="1"/>
    </xf>
    <xf numFmtId="0" fontId="26" fillId="36" borderId="0" xfId="0" applyFont="1" applyFill="1" applyBorder="1" applyAlignment="1">
      <alignment wrapText="1"/>
    </xf>
    <xf numFmtId="0" fontId="33" fillId="36" borderId="0" xfId="0" applyFont="1" applyFill="1" applyAlignment="1">
      <alignment wrapText="1"/>
    </xf>
    <xf numFmtId="0" fontId="0" fillId="0" borderId="0" xfId="0" applyAlignment="1">
      <alignment wrapText="1"/>
    </xf>
    <xf numFmtId="0" fontId="32" fillId="36" borderId="0" xfId="0" applyFont="1" applyFill="1" applyAlignment="1">
      <alignment wrapText="1"/>
    </xf>
    <xf numFmtId="0" fontId="36" fillId="36" borderId="0" xfId="0" applyFont="1" applyFill="1" applyAlignment="1">
      <alignment wrapText="1"/>
    </xf>
    <xf numFmtId="169" fontId="5" fillId="33" borderId="0" xfId="0" applyNumberFormat="1" applyFont="1" applyFill="1" applyBorder="1" applyAlignment="1">
      <alignment/>
    </xf>
    <xf numFmtId="169" fontId="27" fillId="34" borderId="0" xfId="0" applyNumberFormat="1" applyFont="1" applyFill="1" applyBorder="1" applyAlignment="1" applyProtection="1">
      <alignment/>
      <protection locked="0"/>
    </xf>
    <xf numFmtId="169" fontId="5" fillId="34" borderId="17" xfId="0" applyNumberFormat="1" applyFont="1" applyFill="1" applyBorder="1" applyAlignment="1" applyProtection="1">
      <alignment/>
      <protection/>
    </xf>
    <xf numFmtId="0" fontId="38" fillId="33" borderId="13" xfId="0" applyFont="1" applyFill="1" applyBorder="1" applyAlignment="1">
      <alignment/>
    </xf>
    <xf numFmtId="0" fontId="17" fillId="0" borderId="0" xfId="0" applyFont="1" applyAlignment="1">
      <alignment/>
    </xf>
    <xf numFmtId="0" fontId="10" fillId="0" borderId="0" xfId="0" applyFont="1" applyAlignment="1">
      <alignment/>
    </xf>
    <xf numFmtId="0" fontId="39" fillId="0" borderId="0" xfId="0" applyFont="1" applyAlignment="1">
      <alignment/>
    </xf>
    <xf numFmtId="0" fontId="15" fillId="0" borderId="0" xfId="0" applyFont="1" applyAlignment="1">
      <alignment/>
    </xf>
    <xf numFmtId="0" fontId="16" fillId="0" borderId="0" xfId="0" applyFont="1" applyAlignment="1">
      <alignment horizontal="center"/>
    </xf>
    <xf numFmtId="0" fontId="5" fillId="0" borderId="0" xfId="0" applyFont="1" applyAlignment="1">
      <alignment horizontal="center"/>
    </xf>
    <xf numFmtId="0" fontId="40" fillId="0" borderId="0" xfId="0" applyFont="1" applyAlignment="1">
      <alignment horizontal="center"/>
    </xf>
    <xf numFmtId="0" fontId="5" fillId="0" borderId="0" xfId="0" applyFont="1" applyAlignment="1">
      <alignment/>
    </xf>
    <xf numFmtId="0" fontId="5" fillId="0" borderId="22" xfId="0" applyFont="1" applyBorder="1" applyAlignment="1">
      <alignment horizontal="left"/>
    </xf>
    <xf numFmtId="0" fontId="5" fillId="0" borderId="0" xfId="0" applyFont="1" applyAlignment="1">
      <alignment horizontal="left"/>
    </xf>
    <xf numFmtId="0" fontId="5" fillId="0" borderId="23" xfId="0" applyFont="1" applyBorder="1" applyAlignment="1">
      <alignment horizontal="left" wrapText="1"/>
    </xf>
    <xf numFmtId="0" fontId="10" fillId="33" borderId="22" xfId="0" applyFont="1" applyFill="1" applyBorder="1" applyAlignment="1">
      <alignment horizontal="center"/>
    </xf>
    <xf numFmtId="0" fontId="5" fillId="0" borderId="24" xfId="0" applyFont="1" applyBorder="1" applyAlignment="1">
      <alignment horizontal="center"/>
    </xf>
    <xf numFmtId="0" fontId="5" fillId="33" borderId="23" xfId="0" applyFont="1" applyFill="1" applyBorder="1" applyAlignment="1">
      <alignment/>
    </xf>
    <xf numFmtId="0" fontId="41" fillId="34" borderId="24" xfId="0" applyFont="1" applyFill="1" applyBorder="1" applyAlignment="1" applyProtection="1">
      <alignment horizontal="center"/>
      <protection locked="0"/>
    </xf>
    <xf numFmtId="0" fontId="10" fillId="33" borderId="24" xfId="0" applyFont="1" applyFill="1" applyBorder="1" applyAlignment="1">
      <alignment horizontal="center"/>
    </xf>
    <xf numFmtId="2" fontId="5" fillId="0" borderId="24" xfId="0" applyNumberFormat="1" applyFont="1" applyBorder="1" applyAlignment="1">
      <alignment horizontal="center"/>
    </xf>
    <xf numFmtId="0" fontId="5" fillId="33" borderId="24" xfId="0" applyFont="1" applyFill="1" applyBorder="1" applyAlignment="1">
      <alignment horizontal="center"/>
    </xf>
    <xf numFmtId="0" fontId="10" fillId="0" borderId="0" xfId="0" applyFont="1" applyAlignment="1">
      <alignment horizontal="center"/>
    </xf>
    <xf numFmtId="0" fontId="10" fillId="34" borderId="0" xfId="0" applyFont="1" applyFill="1" applyAlignment="1">
      <alignment horizontal="center"/>
    </xf>
    <xf numFmtId="2" fontId="10" fillId="33" borderId="24" xfId="0" applyNumberFormat="1" applyFont="1" applyFill="1" applyBorder="1" applyAlignment="1">
      <alignment horizontal="center"/>
    </xf>
    <xf numFmtId="2" fontId="5" fillId="0" borderId="0" xfId="0" applyNumberFormat="1" applyFont="1" applyAlignment="1">
      <alignment/>
    </xf>
    <xf numFmtId="2" fontId="5" fillId="33" borderId="24" xfId="0" applyNumberFormat="1" applyFont="1" applyFill="1" applyBorder="1" applyAlignment="1">
      <alignment horizontal="center"/>
    </xf>
    <xf numFmtId="2" fontId="5" fillId="0" borderId="23" xfId="0" applyNumberFormat="1" applyFont="1" applyBorder="1" applyAlignment="1">
      <alignment horizontal="center"/>
    </xf>
    <xf numFmtId="0" fontId="5" fillId="33" borderId="23" xfId="0" applyFont="1" applyFill="1" applyBorder="1" applyAlignment="1">
      <alignment horizontal="center"/>
    </xf>
    <xf numFmtId="0" fontId="10" fillId="0" borderId="0" xfId="0" applyFont="1" applyAlignment="1">
      <alignment horizontal="left"/>
    </xf>
    <xf numFmtId="0" fontId="5" fillId="33" borderId="18" xfId="0" applyFont="1" applyFill="1" applyBorder="1" applyAlignment="1">
      <alignment wrapText="1"/>
    </xf>
    <xf numFmtId="2" fontId="41" fillId="34" borderId="22" xfId="0" applyNumberFormat="1" applyFont="1" applyFill="1" applyBorder="1" applyAlignment="1" applyProtection="1">
      <alignment horizontal="center"/>
      <protection locked="0"/>
    </xf>
    <xf numFmtId="2" fontId="41" fillId="34" borderId="24" xfId="0" applyNumberFormat="1" applyFont="1" applyFill="1" applyBorder="1" applyAlignment="1" applyProtection="1">
      <alignment horizontal="center"/>
      <protection locked="0"/>
    </xf>
    <xf numFmtId="2" fontId="5" fillId="0" borderId="0" xfId="0" applyNumberFormat="1" applyFont="1" applyBorder="1" applyAlignment="1">
      <alignment horizontal="center"/>
    </xf>
    <xf numFmtId="0" fontId="5" fillId="0" borderId="0" xfId="0" applyFont="1" applyAlignment="1">
      <alignment horizontal="center" wrapText="1"/>
    </xf>
    <xf numFmtId="2" fontId="5" fillId="0" borderId="0" xfId="0" applyNumberFormat="1" applyFont="1" applyAlignment="1">
      <alignment horizontal="center"/>
    </xf>
    <xf numFmtId="2" fontId="5" fillId="33" borderId="23" xfId="0" applyNumberFormat="1" applyFont="1" applyFill="1" applyBorder="1" applyAlignment="1">
      <alignment horizontal="center"/>
    </xf>
    <xf numFmtId="2" fontId="5" fillId="0" borderId="0" xfId="0" applyNumberFormat="1" applyFont="1" applyFill="1" applyBorder="1" applyAlignment="1">
      <alignment horizontal="center"/>
    </xf>
    <xf numFmtId="176" fontId="5" fillId="0" borderId="0" xfId="0" applyNumberFormat="1" applyFont="1" applyAlignment="1">
      <alignment/>
    </xf>
    <xf numFmtId="176" fontId="5" fillId="0" borderId="0" xfId="0" applyNumberFormat="1" applyFont="1" applyAlignment="1">
      <alignment horizontal="center"/>
    </xf>
    <xf numFmtId="0" fontId="5" fillId="33" borderId="22" xfId="0" applyFont="1" applyFill="1" applyBorder="1" applyAlignment="1">
      <alignment horizontal="left"/>
    </xf>
    <xf numFmtId="0" fontId="5" fillId="33" borderId="22" xfId="0" applyFont="1" applyFill="1" applyBorder="1" applyAlignment="1">
      <alignment horizontal="center"/>
    </xf>
    <xf numFmtId="0" fontId="10" fillId="40" borderId="22" xfId="0" applyFont="1" applyFill="1" applyBorder="1" applyAlignment="1">
      <alignment horizontal="left"/>
    </xf>
    <xf numFmtId="0" fontId="5" fillId="0" borderId="22" xfId="0" applyFont="1" applyBorder="1" applyAlignment="1">
      <alignment horizontal="center"/>
    </xf>
    <xf numFmtId="0" fontId="10" fillId="40" borderId="23" xfId="0" applyFont="1" applyFill="1" applyBorder="1" applyAlignment="1">
      <alignment horizontal="center"/>
    </xf>
    <xf numFmtId="2" fontId="10" fillId="40" borderId="24" xfId="0" applyNumberFormat="1" applyFont="1" applyFill="1" applyBorder="1" applyAlignment="1">
      <alignment horizontal="center"/>
    </xf>
    <xf numFmtId="166" fontId="10" fillId="40" borderId="24" xfId="0" applyNumberFormat="1" applyFont="1" applyFill="1" applyBorder="1" applyAlignment="1">
      <alignment horizontal="center"/>
    </xf>
    <xf numFmtId="0" fontId="5" fillId="0" borderId="23" xfId="0" applyFont="1" applyBorder="1" applyAlignment="1">
      <alignment horizontal="center"/>
    </xf>
    <xf numFmtId="2" fontId="10" fillId="40" borderId="23" xfId="0" applyNumberFormat="1" applyFont="1" applyFill="1" applyBorder="1" applyAlignment="1">
      <alignment horizontal="center"/>
    </xf>
    <xf numFmtId="0" fontId="5" fillId="0" borderId="11" xfId="0" applyFont="1" applyBorder="1" applyAlignment="1">
      <alignment horizontal="center"/>
    </xf>
    <xf numFmtId="2" fontId="10" fillId="0" borderId="0" xfId="0" applyNumberFormat="1" applyFont="1" applyFill="1" applyBorder="1" applyAlignment="1">
      <alignment horizontal="center"/>
    </xf>
    <xf numFmtId="0" fontId="5" fillId="0" borderId="0" xfId="0" applyFont="1" applyBorder="1" applyAlignment="1">
      <alignment horizontal="center"/>
    </xf>
    <xf numFmtId="0" fontId="10" fillId="37" borderId="22" xfId="0" applyFont="1" applyFill="1" applyBorder="1" applyAlignment="1">
      <alignment horizontal="center" wrapText="1"/>
    </xf>
    <xf numFmtId="2" fontId="5" fillId="33" borderId="18" xfId="0" applyNumberFormat="1" applyFont="1" applyFill="1" applyBorder="1" applyAlignment="1">
      <alignment horizontal="center"/>
    </xf>
    <xf numFmtId="0" fontId="5" fillId="0" borderId="11" xfId="0" applyFont="1" applyBorder="1" applyAlignment="1">
      <alignment/>
    </xf>
    <xf numFmtId="0" fontId="10" fillId="37" borderId="18" xfId="0" applyFont="1" applyFill="1" applyBorder="1" applyAlignment="1">
      <alignment horizontal="center" wrapText="1"/>
    </xf>
    <xf numFmtId="0" fontId="5" fillId="0" borderId="0" xfId="0" applyFont="1" applyAlignment="1">
      <alignment wrapText="1"/>
    </xf>
    <xf numFmtId="2" fontId="5" fillId="33" borderId="24" xfId="0" applyNumberFormat="1" applyFont="1" applyFill="1" applyBorder="1" applyAlignment="1">
      <alignment horizontal="center" wrapText="1"/>
    </xf>
    <xf numFmtId="0" fontId="16" fillId="0" borderId="0" xfId="0" applyFont="1" applyAlignment="1">
      <alignment/>
    </xf>
    <xf numFmtId="0" fontId="16" fillId="0" borderId="0" xfId="0" applyFont="1" applyBorder="1" applyAlignment="1">
      <alignment horizontal="center"/>
    </xf>
    <xf numFmtId="0" fontId="10" fillId="0" borderId="18" xfId="0" applyFont="1" applyBorder="1" applyAlignment="1">
      <alignment horizontal="center"/>
    </xf>
    <xf numFmtId="0" fontId="5" fillId="0" borderId="18" xfId="0" applyFont="1" applyFill="1" applyBorder="1" applyAlignment="1">
      <alignment horizontal="center" wrapText="1"/>
    </xf>
    <xf numFmtId="0" fontId="10" fillId="37" borderId="23" xfId="0" applyFont="1" applyFill="1" applyBorder="1" applyAlignment="1">
      <alignment horizontal="center" wrapText="1"/>
    </xf>
    <xf numFmtId="0" fontId="0" fillId="37" borderId="22" xfId="0" applyFill="1" applyBorder="1" applyAlignment="1">
      <alignment/>
    </xf>
    <xf numFmtId="169" fontId="27" fillId="34" borderId="0" xfId="0" applyNumberFormat="1" applyFont="1" applyFill="1" applyBorder="1" applyAlignment="1" applyProtection="1" quotePrefix="1">
      <alignment/>
      <protection locked="0"/>
    </xf>
    <xf numFmtId="2" fontId="0" fillId="33" borderId="0" xfId="0" applyNumberFormat="1" applyFill="1" applyAlignment="1">
      <alignment/>
    </xf>
    <xf numFmtId="168" fontId="27" fillId="34" borderId="14" xfId="0" applyNumberFormat="1" applyFont="1" applyFill="1" applyBorder="1" applyAlignment="1" applyProtection="1">
      <alignment/>
      <protection locked="0"/>
    </xf>
    <xf numFmtId="0" fontId="27" fillId="34" borderId="16" xfId="0" applyFont="1" applyFill="1" applyBorder="1" applyAlignment="1" applyProtection="1">
      <alignment/>
      <protection locked="0"/>
    </xf>
    <xf numFmtId="169" fontId="0" fillId="36" borderId="0" xfId="0" applyNumberFormat="1" applyFill="1" applyAlignment="1">
      <alignment/>
    </xf>
    <xf numFmtId="10" fontId="42" fillId="0" borderId="0" xfId="0" applyNumberFormat="1" applyFont="1" applyFill="1" applyBorder="1" applyAlignment="1">
      <alignment horizontal="center"/>
    </xf>
    <xf numFmtId="0" fontId="4" fillId="19" borderId="10" xfId="0" applyFont="1" applyFill="1" applyBorder="1" applyAlignment="1">
      <alignment/>
    </xf>
    <xf numFmtId="0" fontId="5" fillId="19" borderId="11" xfId="0" applyFont="1" applyFill="1" applyBorder="1" applyAlignment="1">
      <alignment/>
    </xf>
    <xf numFmtId="0" fontId="5" fillId="19" borderId="12" xfId="0" applyFont="1" applyFill="1" applyBorder="1" applyAlignment="1">
      <alignment/>
    </xf>
    <xf numFmtId="0" fontId="10" fillId="19" borderId="13" xfId="0" applyFont="1" applyFill="1" applyBorder="1" applyAlignment="1">
      <alignment/>
    </xf>
    <xf numFmtId="0" fontId="5" fillId="19" borderId="0" xfId="0" applyFont="1" applyFill="1" applyBorder="1" applyAlignment="1">
      <alignment/>
    </xf>
    <xf numFmtId="0" fontId="5" fillId="19" borderId="14" xfId="0" applyFont="1" applyFill="1" applyBorder="1" applyAlignment="1">
      <alignment/>
    </xf>
    <xf numFmtId="0" fontId="6" fillId="19" borderId="13" xfId="0" applyFont="1" applyFill="1" applyBorder="1" applyAlignment="1">
      <alignment/>
    </xf>
    <xf numFmtId="169" fontId="27" fillId="19" borderId="0" xfId="0" applyNumberFormat="1" applyFont="1" applyFill="1" applyBorder="1" applyAlignment="1" applyProtection="1">
      <alignment/>
      <protection locked="0"/>
    </xf>
    <xf numFmtId="10" fontId="27" fillId="19" borderId="0" xfId="0" applyNumberFormat="1" applyFont="1" applyFill="1" applyBorder="1" applyAlignment="1" applyProtection="1">
      <alignment/>
      <protection locked="0"/>
    </xf>
    <xf numFmtId="0" fontId="6" fillId="19" borderId="15" xfId="0" applyFont="1" applyFill="1" applyBorder="1" applyAlignment="1">
      <alignment/>
    </xf>
    <xf numFmtId="169" fontId="5" fillId="19" borderId="17" xfId="0" applyNumberFormat="1" applyFont="1" applyFill="1" applyBorder="1" applyAlignment="1" applyProtection="1">
      <alignment/>
      <protection/>
    </xf>
    <xf numFmtId="0" fontId="5" fillId="19" borderId="16" xfId="0" applyFont="1" applyFill="1" applyBorder="1" applyAlignment="1">
      <alignment/>
    </xf>
    <xf numFmtId="169" fontId="5" fillId="33" borderId="0" xfId="0" applyNumberFormat="1" applyFont="1" applyFill="1" applyBorder="1" applyAlignment="1">
      <alignment horizontal="center"/>
    </xf>
    <xf numFmtId="169" fontId="5" fillId="33" borderId="0" xfId="0" applyNumberFormat="1" applyFont="1" applyFill="1" applyBorder="1" applyAlignment="1">
      <alignment horizontal="right"/>
    </xf>
    <xf numFmtId="169" fontId="5" fillId="33" borderId="17" xfId="59" applyNumberFormat="1" applyFont="1" applyFill="1" applyBorder="1" applyAlignment="1">
      <alignment horizontal="center"/>
    </xf>
    <xf numFmtId="2" fontId="0" fillId="36" borderId="0" xfId="0" applyNumberFormat="1" applyFill="1" applyAlignment="1">
      <alignment/>
    </xf>
    <xf numFmtId="176" fontId="5" fillId="0" borderId="0" xfId="0" applyNumberFormat="1" applyFont="1" applyFill="1" applyAlignment="1">
      <alignment horizontal="center"/>
    </xf>
    <xf numFmtId="176" fontId="5" fillId="0" borderId="0" xfId="0" applyNumberFormat="1" applyFont="1" applyFill="1" applyAlignment="1">
      <alignment/>
    </xf>
    <xf numFmtId="0" fontId="5" fillId="0" borderId="0" xfId="0" applyNumberFormat="1" applyFont="1" applyFill="1" applyAlignment="1">
      <alignment horizontal="center"/>
    </xf>
    <xf numFmtId="0" fontId="5" fillId="0" borderId="10" xfId="0" applyNumberFormat="1" applyFont="1" applyFill="1" applyBorder="1" applyAlignment="1">
      <alignment horizontal="left"/>
    </xf>
    <xf numFmtId="0" fontId="5" fillId="0" borderId="0" xfId="0" applyNumberFormat="1" applyFont="1" applyFill="1" applyAlignment="1">
      <alignment/>
    </xf>
    <xf numFmtId="0" fontId="5" fillId="0" borderId="0" xfId="0" applyNumberFormat="1" applyFont="1" applyAlignment="1">
      <alignment/>
    </xf>
    <xf numFmtId="0" fontId="5" fillId="0" borderId="0" xfId="0" applyNumberFormat="1" applyFont="1" applyAlignment="1">
      <alignment horizontal="center"/>
    </xf>
    <xf numFmtId="0" fontId="10" fillId="0" borderId="0" xfId="0" applyNumberFormat="1" applyFont="1" applyAlignment="1">
      <alignment horizontal="left" wrapText="1"/>
    </xf>
    <xf numFmtId="0" fontId="5" fillId="0" borderId="10" xfId="0" applyNumberFormat="1" applyFont="1" applyBorder="1" applyAlignment="1">
      <alignment horizontal="left"/>
    </xf>
    <xf numFmtId="0" fontId="16" fillId="34" borderId="0" xfId="0" applyFont="1" applyFill="1" applyAlignment="1">
      <alignment wrapText="1"/>
    </xf>
    <xf numFmtId="0" fontId="15" fillId="33" borderId="0" xfId="0" applyFont="1" applyFill="1" applyAlignment="1">
      <alignment wrapText="1"/>
    </xf>
    <xf numFmtId="0" fontId="16" fillId="0" borderId="0" xfId="0" applyFont="1" applyAlignment="1">
      <alignment wrapText="1"/>
    </xf>
    <xf numFmtId="0" fontId="15" fillId="0" borderId="0" xfId="0" applyFont="1" applyAlignment="1">
      <alignment wrapText="1"/>
    </xf>
    <xf numFmtId="0" fontId="5" fillId="0" borderId="0" xfId="0" applyFont="1" applyAlignment="1">
      <alignment/>
    </xf>
    <xf numFmtId="0" fontId="10" fillId="34" borderId="0" xfId="0" applyFont="1" applyFill="1" applyAlignment="1">
      <alignment wrapText="1"/>
    </xf>
    <xf numFmtId="0" fontId="10" fillId="34" borderId="0" xfId="0" applyFont="1" applyFill="1" applyAlignment="1">
      <alignment/>
    </xf>
    <xf numFmtId="0" fontId="16" fillId="0" borderId="0" xfId="0" applyFont="1" applyAlignment="1">
      <alignment/>
    </xf>
    <xf numFmtId="0" fontId="10" fillId="0" borderId="0" xfId="0" applyFont="1" applyAlignment="1">
      <alignment/>
    </xf>
    <xf numFmtId="2" fontId="5" fillId="41" borderId="24" xfId="0" applyNumberFormat="1" applyFont="1" applyFill="1" applyBorder="1" applyAlignment="1">
      <alignment horizontal="center" wrapText="1"/>
    </xf>
    <xf numFmtId="2" fontId="5" fillId="0" borderId="18" xfId="0" applyNumberFormat="1" applyFont="1" applyFill="1" applyBorder="1" applyAlignment="1">
      <alignment horizontal="center"/>
    </xf>
    <xf numFmtId="2" fontId="0" fillId="0" borderId="0" xfId="0" applyNumberFormat="1" applyAlignment="1">
      <alignment/>
    </xf>
    <xf numFmtId="0" fontId="0" fillId="42" borderId="14" xfId="0" applyFill="1" applyBorder="1" applyAlignment="1">
      <alignment/>
    </xf>
    <xf numFmtId="0" fontId="4" fillId="42" borderId="25" xfId="0" applyFont="1" applyFill="1" applyBorder="1" applyAlignment="1">
      <alignment/>
    </xf>
    <xf numFmtId="0" fontId="0" fillId="42" borderId="26" xfId="0" applyFill="1" applyBorder="1" applyAlignment="1">
      <alignment/>
    </xf>
    <xf numFmtId="0" fontId="0" fillId="42" borderId="27" xfId="0" applyFill="1" applyBorder="1" applyAlignment="1">
      <alignment/>
    </xf>
    <xf numFmtId="0" fontId="0" fillId="42" borderId="28" xfId="0" applyFill="1" applyBorder="1" applyAlignment="1">
      <alignment/>
    </xf>
    <xf numFmtId="0" fontId="10" fillId="42" borderId="29" xfId="0" applyFont="1" applyFill="1" applyBorder="1" applyAlignment="1">
      <alignment/>
    </xf>
    <xf numFmtId="0" fontId="10" fillId="42" borderId="29" xfId="0" applyFont="1" applyFill="1" applyBorder="1" applyAlignment="1">
      <alignment horizontal="center"/>
    </xf>
    <xf numFmtId="2" fontId="0" fillId="42" borderId="0" xfId="0" applyNumberFormat="1" applyFill="1" applyBorder="1" applyAlignment="1">
      <alignment/>
    </xf>
    <xf numFmtId="2" fontId="0" fillId="42" borderId="28" xfId="0" applyNumberFormat="1" applyFill="1" applyBorder="1" applyAlignment="1">
      <alignment/>
    </xf>
    <xf numFmtId="0" fontId="0" fillId="42" borderId="0" xfId="0" applyFill="1" applyBorder="1" applyAlignment="1">
      <alignment/>
    </xf>
    <xf numFmtId="0" fontId="10" fillId="42" borderId="30" xfId="0" applyFont="1" applyFill="1" applyBorder="1" applyAlignment="1">
      <alignment horizontal="center"/>
    </xf>
    <xf numFmtId="0" fontId="0" fillId="42" borderId="31" xfId="0" applyFill="1" applyBorder="1" applyAlignment="1">
      <alignment/>
    </xf>
    <xf numFmtId="2" fontId="0" fillId="42" borderId="32" xfId="0" applyNumberFormat="1" applyFill="1" applyBorder="1" applyAlignment="1">
      <alignment/>
    </xf>
    <xf numFmtId="0" fontId="43" fillId="42" borderId="29" xfId="0" applyFont="1" applyFill="1" applyBorder="1" applyAlignment="1">
      <alignment/>
    </xf>
    <xf numFmtId="3" fontId="0" fillId="36" borderId="0" xfId="0" applyNumberFormat="1" applyFill="1" applyAlignment="1">
      <alignment/>
    </xf>
    <xf numFmtId="168" fontId="5" fillId="33" borderId="24" xfId="0" applyNumberFormat="1" applyFont="1" applyFill="1" applyBorder="1" applyAlignment="1">
      <alignment horizontal="center" wrapText="1"/>
    </xf>
    <xf numFmtId="168" fontId="5" fillId="33" borderId="18" xfId="0" applyNumberFormat="1" applyFont="1" applyFill="1" applyBorder="1" applyAlignment="1">
      <alignment horizontal="center" wrapText="1"/>
    </xf>
    <xf numFmtId="166" fontId="5" fillId="33" borderId="24" xfId="0" applyNumberFormat="1" applyFont="1" applyFill="1" applyBorder="1" applyAlignment="1">
      <alignment horizontal="center" wrapText="1"/>
    </xf>
    <xf numFmtId="0" fontId="41" fillId="0" borderId="0" xfId="0" applyFont="1" applyFill="1" applyBorder="1" applyAlignment="1" applyProtection="1">
      <alignment horizontal="center"/>
      <protection locked="0"/>
    </xf>
    <xf numFmtId="2" fontId="41" fillId="34" borderId="23"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6"/>
  <dimension ref="A1:Q177"/>
  <sheetViews>
    <sheetView zoomScalePageLayoutView="0" workbookViewId="0" topLeftCell="A164">
      <selection activeCell="A188" sqref="A188"/>
    </sheetView>
  </sheetViews>
  <sheetFormatPr defaultColWidth="9.140625" defaultRowHeight="12.75"/>
  <cols>
    <col min="1" max="1" width="101.28125" style="0" customWidth="1"/>
    <col min="4" max="4" width="16.140625" style="0" customWidth="1"/>
    <col min="7" max="7" width="17.7109375" style="0" customWidth="1"/>
    <col min="8" max="8" width="5.8515625" style="0" customWidth="1"/>
    <col min="10" max="10" width="16.57421875" style="0" customWidth="1"/>
  </cols>
  <sheetData>
    <row r="1" s="37" customFormat="1" ht="19.5">
      <c r="A1" s="58" t="s">
        <v>226</v>
      </c>
    </row>
    <row r="2" s="37" customFormat="1" ht="19.5">
      <c r="A2" s="58"/>
    </row>
    <row r="3" s="37" customFormat="1" ht="19.5">
      <c r="A3" s="243" t="s">
        <v>436</v>
      </c>
    </row>
    <row r="4" s="37" customFormat="1" ht="12.75" customHeight="1">
      <c r="A4" s="58"/>
    </row>
    <row r="5" spans="1:3" s="37" customFormat="1" ht="12.75">
      <c r="A5" s="125" t="s">
        <v>437</v>
      </c>
      <c r="B5" s="129"/>
      <c r="C5" s="129"/>
    </row>
    <row r="6" s="37" customFormat="1" ht="15.75">
      <c r="A6" s="77"/>
    </row>
    <row r="7" s="37" customFormat="1" ht="15.75">
      <c r="A7" s="128" t="s">
        <v>232</v>
      </c>
    </row>
    <row r="8" s="37" customFormat="1" ht="12.75" customHeight="1">
      <c r="A8" s="77"/>
    </row>
    <row r="9" s="37" customFormat="1" ht="11.25" customHeight="1">
      <c r="A9" s="125" t="s">
        <v>438</v>
      </c>
    </row>
    <row r="10" s="37" customFormat="1" ht="12.75">
      <c r="A10" s="125" t="s">
        <v>289</v>
      </c>
    </row>
    <row r="11" s="37" customFormat="1" ht="12.75">
      <c r="A11" s="125" t="s">
        <v>290</v>
      </c>
    </row>
    <row r="12" s="37" customFormat="1" ht="12.75">
      <c r="A12" s="125" t="s">
        <v>291</v>
      </c>
    </row>
    <row r="13" s="37" customFormat="1" ht="12.75">
      <c r="A13" s="125" t="s">
        <v>292</v>
      </c>
    </row>
    <row r="14" s="37" customFormat="1" ht="12.75">
      <c r="A14" s="125" t="s">
        <v>293</v>
      </c>
    </row>
    <row r="15" s="37" customFormat="1" ht="12.75">
      <c r="A15" s="125" t="s">
        <v>294</v>
      </c>
    </row>
    <row r="16" s="37" customFormat="1" ht="12.75">
      <c r="A16" s="37" t="s">
        <v>435</v>
      </c>
    </row>
    <row r="17" s="37" customFormat="1" ht="12.75"/>
    <row r="18" spans="1:2" s="37" customFormat="1" ht="12.75">
      <c r="A18" s="244" t="s">
        <v>313</v>
      </c>
      <c r="B18" s="125"/>
    </row>
    <row r="19" spans="1:2" s="37" customFormat="1" ht="12.75">
      <c r="A19" s="247" t="s">
        <v>314</v>
      </c>
      <c r="B19" s="125"/>
    </row>
    <row r="20" spans="1:2" s="37" customFormat="1" ht="12.75">
      <c r="A20" s="125"/>
      <c r="B20" s="125"/>
    </row>
    <row r="21" spans="1:2" s="37" customFormat="1" ht="12.75">
      <c r="A21" s="125" t="s">
        <v>269</v>
      </c>
      <c r="B21" s="125"/>
    </row>
    <row r="22" s="247" customFormat="1" ht="24.75">
      <c r="A22" s="247" t="s">
        <v>270</v>
      </c>
    </row>
    <row r="23" s="247" customFormat="1" ht="12"/>
    <row r="24" s="247" customFormat="1" ht="12"/>
    <row r="25" s="125" customFormat="1" ht="15.75">
      <c r="A25" s="128" t="s">
        <v>231</v>
      </c>
    </row>
    <row r="26" s="125" customFormat="1" ht="12"/>
    <row r="27" s="125" customFormat="1" ht="12">
      <c r="A27" s="125" t="s">
        <v>230</v>
      </c>
    </row>
    <row r="28" s="125" customFormat="1" ht="12"/>
    <row r="29" s="125" customFormat="1" ht="12">
      <c r="A29" s="109" t="s">
        <v>229</v>
      </c>
    </row>
    <row r="30" s="125" customFormat="1" ht="12">
      <c r="A30" s="233"/>
    </row>
    <row r="31" s="125" customFormat="1" ht="12">
      <c r="A31" s="234" t="s">
        <v>228</v>
      </c>
    </row>
    <row r="32" s="125" customFormat="1" ht="12">
      <c r="A32" s="235" t="s">
        <v>227</v>
      </c>
    </row>
    <row r="33" s="125" customFormat="1" ht="12">
      <c r="A33" s="236" t="s">
        <v>287</v>
      </c>
    </row>
    <row r="34" s="125" customFormat="1" ht="12">
      <c r="A34" s="237" t="s">
        <v>234</v>
      </c>
    </row>
    <row r="35" s="125" customFormat="1" ht="12"/>
    <row r="36" s="125" customFormat="1" ht="12"/>
    <row r="37" s="125" customFormat="1" ht="17.25">
      <c r="A37" s="245" t="s">
        <v>264</v>
      </c>
    </row>
    <row r="38" s="125" customFormat="1" ht="12"/>
    <row r="39" s="125" customFormat="1" ht="15.75">
      <c r="A39" s="128" t="s">
        <v>271</v>
      </c>
    </row>
    <row r="40" s="125" customFormat="1" ht="12">
      <c r="A40" s="125" t="s">
        <v>272</v>
      </c>
    </row>
    <row r="41" s="247" customFormat="1" ht="26.25" customHeight="1">
      <c r="A41" s="247" t="s">
        <v>258</v>
      </c>
    </row>
    <row r="42" s="125" customFormat="1" ht="12"/>
    <row r="43" s="247" customFormat="1" ht="37.5">
      <c r="A43" s="247" t="s">
        <v>257</v>
      </c>
    </row>
    <row r="44" s="125" customFormat="1" ht="12"/>
    <row r="45" s="247" customFormat="1" ht="24.75">
      <c r="A45" s="247" t="s">
        <v>295</v>
      </c>
    </row>
    <row r="46" s="125" customFormat="1" ht="24.75">
      <c r="A46" s="247" t="s">
        <v>259</v>
      </c>
    </row>
    <row r="47" s="125" customFormat="1" ht="12"/>
    <row r="48" s="125" customFormat="1" ht="12"/>
    <row r="49" s="125" customFormat="1" ht="15.75">
      <c r="A49" s="128" t="s">
        <v>0</v>
      </c>
    </row>
    <row r="50" s="125" customFormat="1" ht="12">
      <c r="A50" s="125" t="s">
        <v>233</v>
      </c>
    </row>
    <row r="51" s="125" customFormat="1" ht="12"/>
    <row r="52" spans="1:14" s="248" customFormat="1" ht="25.5">
      <c r="A52" s="247" t="s">
        <v>295</v>
      </c>
      <c r="B52" s="247"/>
      <c r="C52" s="247"/>
      <c r="D52" s="247"/>
      <c r="E52" s="247"/>
      <c r="F52" s="247"/>
      <c r="G52" s="247"/>
      <c r="H52" s="247"/>
      <c r="I52" s="247"/>
      <c r="J52" s="247"/>
      <c r="K52" s="247"/>
      <c r="L52" s="247"/>
      <c r="M52" s="247"/>
      <c r="N52" s="247"/>
    </row>
    <row r="53" s="247" customFormat="1" ht="24.75">
      <c r="A53" s="247" t="s">
        <v>259</v>
      </c>
    </row>
    <row r="54" s="125" customFormat="1" ht="12"/>
    <row r="55" s="247" customFormat="1" ht="24.75">
      <c r="A55" s="247" t="s">
        <v>296</v>
      </c>
    </row>
    <row r="56" s="247" customFormat="1" ht="12"/>
    <row r="57" spans="1:14" s="37" customFormat="1" ht="12.75">
      <c r="A57" s="125" t="s">
        <v>273</v>
      </c>
      <c r="B57" s="125"/>
      <c r="C57" s="125"/>
      <c r="D57" s="125"/>
      <c r="E57" s="125"/>
      <c r="F57" s="125"/>
      <c r="G57" s="125"/>
      <c r="H57" s="125"/>
      <c r="I57" s="125"/>
      <c r="J57" s="125"/>
      <c r="K57" s="125"/>
      <c r="L57" s="125"/>
      <c r="M57" s="125"/>
      <c r="N57" s="125"/>
    </row>
    <row r="58" s="125" customFormat="1" ht="12"/>
    <row r="59" spans="1:12" s="125" customFormat="1" ht="12">
      <c r="A59" s="242" t="s">
        <v>236</v>
      </c>
      <c r="B59" s="242"/>
      <c r="C59" s="242"/>
      <c r="D59" s="242"/>
      <c r="E59" s="242"/>
      <c r="F59" s="242"/>
      <c r="G59" s="242"/>
      <c r="H59" s="242"/>
      <c r="I59" s="242"/>
      <c r="J59" s="242"/>
      <c r="K59" s="240"/>
      <c r="L59" s="240"/>
    </row>
    <row r="60" spans="1:12" s="247" customFormat="1" ht="12">
      <c r="A60" s="249" t="s">
        <v>260</v>
      </c>
      <c r="B60" s="249"/>
      <c r="C60" s="249"/>
      <c r="D60" s="249"/>
      <c r="E60" s="249"/>
      <c r="F60" s="249"/>
      <c r="G60" s="249"/>
      <c r="H60" s="249"/>
      <c r="I60" s="249"/>
      <c r="J60" s="249"/>
      <c r="K60" s="250"/>
      <c r="L60" s="250"/>
    </row>
    <row r="61" spans="1:12" s="125" customFormat="1" ht="21.75" customHeight="1">
      <c r="A61" s="76"/>
      <c r="B61" s="241"/>
      <c r="C61" s="76"/>
      <c r="D61" s="240"/>
      <c r="E61" s="240"/>
      <c r="F61" s="240"/>
      <c r="G61" s="240"/>
      <c r="H61" s="240"/>
      <c r="I61" s="240"/>
      <c r="J61" s="240"/>
      <c r="K61" s="240"/>
      <c r="L61" s="240"/>
    </row>
    <row r="62" spans="1:14" s="125" customFormat="1" ht="15.75">
      <c r="A62" s="128" t="s">
        <v>46</v>
      </c>
      <c r="B62" s="37"/>
      <c r="C62" s="37"/>
      <c r="D62" s="37"/>
      <c r="E62" s="37"/>
      <c r="F62" s="37"/>
      <c r="G62" s="37"/>
      <c r="H62" s="37"/>
      <c r="I62" s="37"/>
      <c r="J62" s="37"/>
      <c r="K62" s="37"/>
      <c r="L62" s="37"/>
      <c r="M62" s="37"/>
      <c r="N62" s="37"/>
    </row>
    <row r="63" s="247" customFormat="1" ht="24.75">
      <c r="A63" s="247" t="s">
        <v>235</v>
      </c>
    </row>
    <row r="64" s="125" customFormat="1" ht="12"/>
    <row r="65" s="247" customFormat="1" ht="24.75">
      <c r="A65" s="247" t="s">
        <v>237</v>
      </c>
    </row>
    <row r="66" s="247" customFormat="1" ht="24.75">
      <c r="A66" s="247" t="s">
        <v>459</v>
      </c>
    </row>
    <row r="67" s="125" customFormat="1" ht="12"/>
    <row r="68" spans="1:15" s="247" customFormat="1" ht="38.25">
      <c r="A68" s="247" t="s">
        <v>297</v>
      </c>
      <c r="B68" s="248"/>
      <c r="C68" s="248"/>
      <c r="D68" s="248"/>
      <c r="E68" s="248"/>
      <c r="F68" s="248"/>
      <c r="G68" s="248"/>
      <c r="H68" s="248"/>
      <c r="I68" s="248"/>
      <c r="J68" s="248"/>
      <c r="K68" s="248"/>
      <c r="L68" s="248"/>
      <c r="M68" s="248"/>
      <c r="N68" s="248"/>
      <c r="O68" s="251"/>
    </row>
    <row r="69" s="125" customFormat="1" ht="12">
      <c r="A69" s="125" t="s">
        <v>239</v>
      </c>
    </row>
    <row r="70" spans="1:14" s="37" customFormat="1" ht="12.75">
      <c r="A70" s="125" t="s">
        <v>238</v>
      </c>
      <c r="B70" s="125"/>
      <c r="C70" s="125"/>
      <c r="D70" s="125"/>
      <c r="E70" s="125"/>
      <c r="F70" s="125"/>
      <c r="G70" s="125"/>
      <c r="H70" s="125"/>
      <c r="I70" s="125"/>
      <c r="J70" s="125"/>
      <c r="K70" s="125"/>
      <c r="L70" s="125"/>
      <c r="M70" s="125"/>
      <c r="N70" s="125"/>
    </row>
    <row r="71" spans="1:14" s="37" customFormat="1" ht="12.75">
      <c r="A71" s="125"/>
      <c r="B71" s="125"/>
      <c r="C71" s="125"/>
      <c r="D71" s="125"/>
      <c r="E71" s="125"/>
      <c r="F71" s="125"/>
      <c r="G71" s="125"/>
      <c r="H71" s="125"/>
      <c r="I71" s="125"/>
      <c r="J71" s="125"/>
      <c r="K71" s="125"/>
      <c r="L71" s="125"/>
      <c r="M71" s="125"/>
      <c r="N71" s="125"/>
    </row>
    <row r="72" spans="1:14" s="248" customFormat="1" ht="25.5">
      <c r="A72" s="251" t="s">
        <v>261</v>
      </c>
      <c r="B72" s="251"/>
      <c r="C72" s="251"/>
      <c r="D72" s="251"/>
      <c r="E72" s="251"/>
      <c r="F72" s="251"/>
      <c r="G72" s="251"/>
      <c r="H72" s="251"/>
      <c r="I72" s="251"/>
      <c r="J72" s="251"/>
      <c r="K72" s="251"/>
      <c r="L72" s="247"/>
      <c r="M72" s="247"/>
      <c r="N72" s="247"/>
    </row>
    <row r="73" spans="1:14" s="248" customFormat="1" ht="12.75">
      <c r="A73" s="251" t="s">
        <v>262</v>
      </c>
      <c r="B73" s="251"/>
      <c r="C73" s="251"/>
      <c r="D73" s="251"/>
      <c r="E73" s="251"/>
      <c r="F73" s="251"/>
      <c r="G73" s="251"/>
      <c r="H73" s="247"/>
      <c r="I73" s="247"/>
      <c r="J73" s="247"/>
      <c r="K73" s="247"/>
      <c r="L73" s="247"/>
      <c r="M73" s="247"/>
      <c r="N73" s="247"/>
    </row>
    <row r="74" spans="1:14" s="37" customFormat="1" ht="12.75">
      <c r="A74" s="239"/>
      <c r="B74" s="239"/>
      <c r="C74" s="239"/>
      <c r="D74" s="239"/>
      <c r="E74" s="239"/>
      <c r="F74" s="239"/>
      <c r="G74" s="239"/>
      <c r="H74" s="125"/>
      <c r="I74" s="125"/>
      <c r="J74" s="125"/>
      <c r="K74" s="125"/>
      <c r="L74" s="125"/>
      <c r="M74" s="125"/>
      <c r="N74" s="125"/>
    </row>
    <row r="75" spans="1:14" s="248" customFormat="1" ht="30">
      <c r="A75" s="247" t="s">
        <v>263</v>
      </c>
      <c r="B75" s="251"/>
      <c r="C75" s="251"/>
      <c r="D75" s="251"/>
      <c r="E75" s="251"/>
      <c r="F75" s="251"/>
      <c r="G75" s="251"/>
      <c r="H75" s="247"/>
      <c r="I75" s="247"/>
      <c r="J75" s="247"/>
      <c r="K75" s="247"/>
      <c r="L75" s="247"/>
      <c r="M75" s="247"/>
      <c r="N75" s="247"/>
    </row>
    <row r="76" spans="1:14" s="248" customFormat="1" ht="12.75">
      <c r="A76" s="247"/>
      <c r="B76" s="251"/>
      <c r="C76" s="251"/>
      <c r="D76" s="251"/>
      <c r="E76" s="251"/>
      <c r="F76" s="251"/>
      <c r="G76" s="251"/>
      <c r="H76" s="247"/>
      <c r="I76" s="247"/>
      <c r="J76" s="247"/>
      <c r="K76" s="247"/>
      <c r="L76" s="247"/>
      <c r="M76" s="247"/>
      <c r="N76" s="247"/>
    </row>
    <row r="77" spans="1:14" s="248" customFormat="1" ht="25.5">
      <c r="A77" s="247" t="s">
        <v>403</v>
      </c>
      <c r="B77" s="251"/>
      <c r="C77" s="251"/>
      <c r="D77" s="251"/>
      <c r="E77" s="251"/>
      <c r="F77" s="251"/>
      <c r="G77" s="251"/>
      <c r="H77" s="247"/>
      <c r="I77" s="247"/>
      <c r="J77" s="247"/>
      <c r="K77" s="247"/>
      <c r="L77" s="247"/>
      <c r="M77" s="247"/>
      <c r="N77" s="247"/>
    </row>
    <row r="78" spans="1:14" s="37" customFormat="1" ht="12.75">
      <c r="A78" s="239"/>
      <c r="B78" s="239"/>
      <c r="C78" s="239"/>
      <c r="D78" s="239"/>
      <c r="E78" s="239"/>
      <c r="F78" s="239"/>
      <c r="G78" s="239"/>
      <c r="H78" s="125"/>
      <c r="I78" s="125"/>
      <c r="J78" s="125"/>
      <c r="K78" s="125"/>
      <c r="L78" s="125"/>
      <c r="M78" s="125"/>
      <c r="N78" s="125"/>
    </row>
    <row r="79" spans="12:14" s="37" customFormat="1" ht="12.75">
      <c r="L79" s="125"/>
      <c r="M79" s="125"/>
      <c r="N79" s="125"/>
    </row>
    <row r="80" spans="1:17" ht="15.75">
      <c r="A80" s="128" t="s">
        <v>26</v>
      </c>
      <c r="B80" s="125"/>
      <c r="C80" s="125"/>
      <c r="D80" s="125"/>
      <c r="E80" s="125"/>
      <c r="F80" s="125"/>
      <c r="G80" s="125"/>
      <c r="H80" s="125"/>
      <c r="I80" s="125"/>
      <c r="J80" s="125"/>
      <c r="K80" s="125"/>
      <c r="L80" s="125"/>
      <c r="M80" s="125"/>
      <c r="N80" s="239"/>
      <c r="O80" s="37"/>
      <c r="P80" s="37"/>
      <c r="Q80" s="37"/>
    </row>
    <row r="81" spans="1:17" s="252" customFormat="1" ht="25.5">
      <c r="A81" s="247" t="s">
        <v>240</v>
      </c>
      <c r="B81" s="247"/>
      <c r="C81" s="247"/>
      <c r="D81" s="247"/>
      <c r="E81" s="247"/>
      <c r="F81" s="247"/>
      <c r="G81" s="247"/>
      <c r="H81" s="247"/>
      <c r="I81" s="247"/>
      <c r="J81" s="247"/>
      <c r="K81" s="247"/>
      <c r="L81" s="247"/>
      <c r="M81" s="247"/>
      <c r="N81" s="247"/>
      <c r="O81" s="248"/>
      <c r="P81" s="248"/>
      <c r="Q81" s="248"/>
    </row>
    <row r="82" spans="1:17" ht="12.75">
      <c r="A82" s="125" t="s">
        <v>241</v>
      </c>
      <c r="B82" s="125"/>
      <c r="C82" s="125"/>
      <c r="D82" s="125"/>
      <c r="E82" s="125"/>
      <c r="F82" s="125"/>
      <c r="G82" s="125"/>
      <c r="H82" s="125"/>
      <c r="I82" s="125"/>
      <c r="J82" s="125"/>
      <c r="K82" s="125"/>
      <c r="L82" s="125"/>
      <c r="M82" s="125"/>
      <c r="N82" s="125"/>
      <c r="O82" s="37"/>
      <c r="P82" s="37"/>
      <c r="Q82" s="37"/>
    </row>
    <row r="83" spans="1:17" ht="12.75">
      <c r="A83" s="125"/>
      <c r="B83" s="125"/>
      <c r="C83" s="125"/>
      <c r="D83" s="125"/>
      <c r="E83" s="125"/>
      <c r="F83" s="125"/>
      <c r="G83" s="125"/>
      <c r="H83" s="125"/>
      <c r="I83" s="125"/>
      <c r="J83" s="125"/>
      <c r="K83" s="125"/>
      <c r="L83" s="125"/>
      <c r="M83" s="125"/>
      <c r="N83" s="125"/>
      <c r="O83" s="37"/>
      <c r="P83" s="37"/>
      <c r="Q83" s="37"/>
    </row>
    <row r="84" spans="1:17" ht="12.75">
      <c r="A84" s="125" t="s">
        <v>274</v>
      </c>
      <c r="B84" s="125"/>
      <c r="C84" s="125"/>
      <c r="D84" s="125"/>
      <c r="E84" s="125"/>
      <c r="F84" s="125"/>
      <c r="G84" s="125"/>
      <c r="H84" s="125"/>
      <c r="I84" s="125"/>
      <c r="J84" s="125"/>
      <c r="K84" s="125"/>
      <c r="L84" s="125"/>
      <c r="M84" s="125"/>
      <c r="N84" s="125"/>
      <c r="O84" s="37"/>
      <c r="P84" s="37"/>
      <c r="Q84" s="37"/>
    </row>
    <row r="85" spans="1:17" ht="12.75">
      <c r="A85" s="125"/>
      <c r="B85" s="125"/>
      <c r="C85" s="125"/>
      <c r="D85" s="125"/>
      <c r="E85" s="125"/>
      <c r="F85" s="125"/>
      <c r="G85" s="125"/>
      <c r="H85" s="125"/>
      <c r="I85" s="125"/>
      <c r="J85" s="125"/>
      <c r="K85" s="125"/>
      <c r="L85" s="125"/>
      <c r="M85" s="125"/>
      <c r="N85" s="125"/>
      <c r="O85" s="37"/>
      <c r="P85" s="37"/>
      <c r="Q85" s="37"/>
    </row>
    <row r="86" spans="1:17" ht="12.75">
      <c r="A86" s="125" t="s">
        <v>244</v>
      </c>
      <c r="B86" s="125"/>
      <c r="C86" s="125"/>
      <c r="D86" s="125"/>
      <c r="E86" s="125"/>
      <c r="F86" s="125"/>
      <c r="G86" s="125"/>
      <c r="H86" s="125"/>
      <c r="I86" s="125"/>
      <c r="J86" s="125"/>
      <c r="K86" s="125"/>
      <c r="L86" s="125"/>
      <c r="M86" s="125"/>
      <c r="N86" s="125"/>
      <c r="O86" s="37"/>
      <c r="P86" s="37"/>
      <c r="Q86" s="37"/>
    </row>
    <row r="87" spans="1:17" ht="12.75">
      <c r="A87" s="125" t="s">
        <v>243</v>
      </c>
      <c r="B87" s="125"/>
      <c r="C87" s="125"/>
      <c r="D87" s="125"/>
      <c r="E87" s="125"/>
      <c r="F87" s="125"/>
      <c r="G87" s="125"/>
      <c r="H87" s="125"/>
      <c r="I87" s="125"/>
      <c r="J87" s="125"/>
      <c r="K87" s="125"/>
      <c r="L87" s="125"/>
      <c r="M87" s="125"/>
      <c r="N87" s="125"/>
      <c r="O87" s="37"/>
      <c r="P87" s="37"/>
      <c r="Q87" s="37"/>
    </row>
    <row r="88" spans="1:17" ht="12.75">
      <c r="A88" s="125" t="s">
        <v>67</v>
      </c>
      <c r="B88" s="125"/>
      <c r="C88" s="125"/>
      <c r="D88" s="125"/>
      <c r="E88" s="125"/>
      <c r="F88" s="125"/>
      <c r="G88" s="125"/>
      <c r="H88" s="125"/>
      <c r="I88" s="125"/>
      <c r="J88" s="125"/>
      <c r="K88" s="125"/>
      <c r="L88" s="125"/>
      <c r="M88" s="125"/>
      <c r="N88" s="125"/>
      <c r="O88" s="37"/>
      <c r="P88" s="37"/>
      <c r="Q88" s="37"/>
    </row>
    <row r="89" spans="1:17" ht="12.75">
      <c r="A89" s="125"/>
      <c r="B89" s="125"/>
      <c r="C89" s="125"/>
      <c r="D89" s="125"/>
      <c r="E89" s="125"/>
      <c r="F89" s="125"/>
      <c r="G89" s="125"/>
      <c r="H89" s="125"/>
      <c r="I89" s="125"/>
      <c r="J89" s="125"/>
      <c r="K89" s="125"/>
      <c r="L89" s="125"/>
      <c r="M89" s="125"/>
      <c r="N89" s="125"/>
      <c r="O89" s="37"/>
      <c r="P89" s="37"/>
      <c r="Q89" s="37"/>
    </row>
    <row r="90" spans="1:17" ht="12.75">
      <c r="A90" s="125" t="s">
        <v>246</v>
      </c>
      <c r="B90" s="125"/>
      <c r="C90" s="125"/>
      <c r="D90" s="125"/>
      <c r="E90" s="125"/>
      <c r="F90" s="125"/>
      <c r="G90" s="125"/>
      <c r="H90" s="125"/>
      <c r="I90" s="125"/>
      <c r="J90" s="125"/>
      <c r="K90" s="125"/>
      <c r="L90" s="125"/>
      <c r="M90" s="125"/>
      <c r="N90" s="125"/>
      <c r="O90" s="37"/>
      <c r="P90" s="37"/>
      <c r="Q90" s="37"/>
    </row>
    <row r="91" spans="1:17" s="252" customFormat="1" ht="12.75">
      <c r="A91" s="247" t="s">
        <v>245</v>
      </c>
      <c r="B91" s="247"/>
      <c r="C91" s="247"/>
      <c r="D91" s="247"/>
      <c r="E91" s="247"/>
      <c r="F91" s="247"/>
      <c r="G91" s="247"/>
      <c r="H91" s="247"/>
      <c r="I91" s="247"/>
      <c r="J91" s="247"/>
      <c r="K91" s="247"/>
      <c r="L91" s="247"/>
      <c r="M91" s="247"/>
      <c r="N91" s="247"/>
      <c r="O91" s="248"/>
      <c r="P91" s="248"/>
      <c r="Q91" s="248"/>
    </row>
    <row r="92" spans="1:17" ht="12.75">
      <c r="A92" s="125"/>
      <c r="B92" s="125"/>
      <c r="C92" s="125"/>
      <c r="D92" s="125"/>
      <c r="E92" s="125"/>
      <c r="F92" s="125"/>
      <c r="G92" s="125"/>
      <c r="H92" s="125"/>
      <c r="I92" s="125"/>
      <c r="J92" s="125"/>
      <c r="K92" s="125"/>
      <c r="L92" s="125"/>
      <c r="M92" s="125"/>
      <c r="N92" s="125"/>
      <c r="O92" s="37"/>
      <c r="P92" s="37"/>
      <c r="Q92" s="37"/>
    </row>
    <row r="93" spans="1:17" s="252" customFormat="1" ht="12.75">
      <c r="A93" s="251" t="s">
        <v>301</v>
      </c>
      <c r="B93" s="251"/>
      <c r="C93" s="251"/>
      <c r="D93" s="251"/>
      <c r="E93" s="251"/>
      <c r="F93" s="251"/>
      <c r="G93" s="251"/>
      <c r="H93" s="251"/>
      <c r="I93" s="251"/>
      <c r="J93" s="251"/>
      <c r="K93" s="247"/>
      <c r="L93" s="247"/>
      <c r="M93" s="247"/>
      <c r="N93" s="247"/>
      <c r="O93" s="248"/>
      <c r="P93" s="248"/>
      <c r="Q93" s="248"/>
    </row>
    <row r="94" spans="1:17" s="252" customFormat="1" ht="12.75">
      <c r="A94" s="251" t="s">
        <v>298</v>
      </c>
      <c r="B94" s="251"/>
      <c r="C94" s="251"/>
      <c r="D94" s="251"/>
      <c r="E94" s="251"/>
      <c r="F94" s="251"/>
      <c r="G94" s="251"/>
      <c r="H94" s="251"/>
      <c r="I94" s="251"/>
      <c r="J94" s="251"/>
      <c r="K94" s="247"/>
      <c r="L94" s="247"/>
      <c r="M94" s="247"/>
      <c r="N94" s="247"/>
      <c r="O94" s="248"/>
      <c r="P94" s="248"/>
      <c r="Q94" s="248"/>
    </row>
    <row r="95" spans="1:17" ht="12.75">
      <c r="A95" s="238"/>
      <c r="B95" s="238"/>
      <c r="C95" s="238"/>
      <c r="D95" s="238"/>
      <c r="E95" s="238"/>
      <c r="F95" s="238"/>
      <c r="G95" s="238"/>
      <c r="H95" s="238"/>
      <c r="I95" s="238"/>
      <c r="J95" s="238"/>
      <c r="K95" s="125"/>
      <c r="L95" s="125"/>
      <c r="M95" s="125"/>
      <c r="N95" s="239"/>
      <c r="O95" s="37"/>
      <c r="P95" s="37"/>
      <c r="Q95" s="37"/>
    </row>
    <row r="96" spans="1:17" ht="12.75">
      <c r="A96" s="125" t="s">
        <v>247</v>
      </c>
      <c r="B96" s="238"/>
      <c r="C96" s="238"/>
      <c r="D96" s="238"/>
      <c r="E96" s="238"/>
      <c r="F96" s="238"/>
      <c r="G96" s="238"/>
      <c r="H96" s="238"/>
      <c r="I96" s="238"/>
      <c r="J96" s="238"/>
      <c r="K96" s="125"/>
      <c r="L96" s="125"/>
      <c r="M96" s="125"/>
      <c r="N96" s="239"/>
      <c r="O96" s="37"/>
      <c r="P96" s="37"/>
      <c r="Q96" s="37"/>
    </row>
    <row r="97" spans="1:17" ht="12.75">
      <c r="A97" s="125" t="s">
        <v>248</v>
      </c>
      <c r="B97" s="238"/>
      <c r="C97" s="238"/>
      <c r="D97" s="238"/>
      <c r="E97" s="238"/>
      <c r="F97" s="238"/>
      <c r="G97" s="238"/>
      <c r="H97" s="238"/>
      <c r="I97" s="238"/>
      <c r="J97" s="238"/>
      <c r="K97" s="125"/>
      <c r="L97" s="125"/>
      <c r="M97" s="125"/>
      <c r="N97" s="125"/>
      <c r="O97" s="37"/>
      <c r="P97" s="37"/>
      <c r="Q97" s="37"/>
    </row>
    <row r="98" spans="1:17" ht="12.75">
      <c r="A98" s="125"/>
      <c r="B98" s="238"/>
      <c r="C98" s="238"/>
      <c r="D98" s="238"/>
      <c r="E98" s="238"/>
      <c r="F98" s="238"/>
      <c r="G98" s="238"/>
      <c r="H98" s="238"/>
      <c r="I98" s="238"/>
      <c r="J98" s="238"/>
      <c r="K98" s="125"/>
      <c r="L98" s="125"/>
      <c r="M98" s="125"/>
      <c r="N98" s="37"/>
      <c r="O98" s="37"/>
      <c r="P98" s="37"/>
      <c r="Q98" s="37"/>
    </row>
    <row r="99" spans="1:17" s="252" customFormat="1" ht="39" customHeight="1">
      <c r="A99" s="251" t="s">
        <v>311</v>
      </c>
      <c r="B99" s="251"/>
      <c r="C99" s="251"/>
      <c r="D99" s="251"/>
      <c r="E99" s="251"/>
      <c r="F99" s="251"/>
      <c r="G99" s="251"/>
      <c r="H99" s="251"/>
      <c r="I99" s="251"/>
      <c r="J99" s="251"/>
      <c r="K99" s="251"/>
      <c r="L99" s="251"/>
      <c r="M99" s="251"/>
      <c r="N99" s="248"/>
      <c r="O99" s="248"/>
      <c r="P99" s="248"/>
      <c r="Q99" s="248"/>
    </row>
    <row r="100" spans="1:17" s="252" customFormat="1" ht="12.75">
      <c r="A100" s="251" t="s">
        <v>249</v>
      </c>
      <c r="B100" s="251"/>
      <c r="C100" s="251"/>
      <c r="D100" s="251"/>
      <c r="E100" s="251"/>
      <c r="F100" s="251"/>
      <c r="G100" s="251"/>
      <c r="H100" s="251"/>
      <c r="I100" s="251"/>
      <c r="J100" s="251"/>
      <c r="K100" s="251"/>
      <c r="L100" s="251"/>
      <c r="M100" s="251"/>
      <c r="N100" s="248"/>
      <c r="O100" s="248"/>
      <c r="P100" s="248"/>
      <c r="Q100" s="248"/>
    </row>
    <row r="101" spans="1:17" s="252" customFormat="1" ht="12.75">
      <c r="A101" s="125"/>
      <c r="B101" s="247"/>
      <c r="C101" s="247"/>
      <c r="D101" s="247"/>
      <c r="E101" s="247"/>
      <c r="F101" s="247"/>
      <c r="G101" s="253"/>
      <c r="H101" s="253"/>
      <c r="I101" s="253"/>
      <c r="J101" s="253"/>
      <c r="K101" s="247"/>
      <c r="L101" s="247"/>
      <c r="M101" s="247"/>
      <c r="N101" s="248"/>
      <c r="O101" s="248"/>
      <c r="P101" s="248"/>
      <c r="Q101" s="248"/>
    </row>
    <row r="102" spans="1:13" s="37" customFormat="1" ht="12.75">
      <c r="A102" s="125"/>
      <c r="B102" s="125"/>
      <c r="C102" s="125"/>
      <c r="D102" s="125"/>
      <c r="E102" s="125"/>
      <c r="F102" s="125"/>
      <c r="G102" s="125"/>
      <c r="H102" s="125"/>
      <c r="I102" s="125"/>
      <c r="J102" s="125"/>
      <c r="K102" s="125"/>
      <c r="L102" s="125"/>
      <c r="M102" s="125"/>
    </row>
    <row r="103" spans="1:13" s="37" customFormat="1" ht="15.75">
      <c r="A103" s="128" t="s">
        <v>242</v>
      </c>
      <c r="B103" s="125"/>
      <c r="C103" s="125"/>
      <c r="D103" s="125"/>
      <c r="E103" s="125"/>
      <c r="F103" s="125"/>
      <c r="G103" s="125"/>
      <c r="H103" s="125"/>
      <c r="I103" s="125"/>
      <c r="J103" s="125"/>
      <c r="K103" s="125"/>
      <c r="L103" s="125"/>
      <c r="M103" s="125"/>
    </row>
    <row r="104" spans="1:13" s="248" customFormat="1" ht="25.5">
      <c r="A104" s="247" t="s">
        <v>250</v>
      </c>
      <c r="B104" s="247"/>
      <c r="C104" s="247"/>
      <c r="D104" s="247"/>
      <c r="E104" s="247"/>
      <c r="F104" s="247"/>
      <c r="G104" s="247"/>
      <c r="H104" s="247"/>
      <c r="I104" s="247"/>
      <c r="J104" s="247"/>
      <c r="K104" s="247"/>
      <c r="L104" s="247"/>
      <c r="M104" s="247"/>
    </row>
    <row r="105" spans="1:13" s="37" customFormat="1" ht="12.75">
      <c r="A105" s="125"/>
      <c r="B105" s="125"/>
      <c r="C105" s="125"/>
      <c r="D105" s="125"/>
      <c r="E105" s="125"/>
      <c r="F105" s="125"/>
      <c r="G105" s="125"/>
      <c r="H105" s="125"/>
      <c r="I105" s="125"/>
      <c r="J105" s="125"/>
      <c r="K105" s="125"/>
      <c r="L105" s="125"/>
      <c r="M105" s="125"/>
    </row>
    <row r="106" spans="1:13" s="37" customFormat="1" ht="12.75">
      <c r="A106" s="125" t="s">
        <v>244</v>
      </c>
      <c r="B106" s="125"/>
      <c r="C106" s="125"/>
      <c r="D106" s="125"/>
      <c r="E106" s="125"/>
      <c r="F106" s="125"/>
      <c r="G106" s="125"/>
      <c r="H106" s="125"/>
      <c r="I106" s="125"/>
      <c r="J106" s="125"/>
      <c r="K106" s="125"/>
      <c r="L106" s="125"/>
      <c r="M106" s="125"/>
    </row>
    <row r="107" spans="1:13" s="248" customFormat="1" ht="25.5">
      <c r="A107" s="247" t="s">
        <v>285</v>
      </c>
      <c r="B107" s="247"/>
      <c r="C107" s="247"/>
      <c r="D107" s="247"/>
      <c r="E107" s="247"/>
      <c r="F107" s="247"/>
      <c r="G107" s="247"/>
      <c r="H107" s="247"/>
      <c r="I107" s="247"/>
      <c r="J107" s="247"/>
      <c r="K107" s="247"/>
      <c r="L107" s="247"/>
      <c r="M107" s="247"/>
    </row>
    <row r="108" spans="1:13" s="37" customFormat="1" ht="12.75">
      <c r="A108" s="125"/>
      <c r="B108" s="125"/>
      <c r="C108" s="125"/>
      <c r="D108" s="125"/>
      <c r="E108" s="125"/>
      <c r="F108" s="125"/>
      <c r="G108" s="125"/>
      <c r="H108" s="125"/>
      <c r="I108" s="125"/>
      <c r="J108" s="125"/>
      <c r="K108" s="125"/>
      <c r="L108" s="125"/>
      <c r="M108" s="125"/>
    </row>
    <row r="109" spans="1:13" s="37" customFormat="1" ht="12.75">
      <c r="A109" s="125" t="s">
        <v>251</v>
      </c>
      <c r="B109" s="125"/>
      <c r="C109" s="125"/>
      <c r="D109" s="125"/>
      <c r="E109" s="125"/>
      <c r="F109" s="125"/>
      <c r="G109" s="125"/>
      <c r="H109" s="125"/>
      <c r="I109" s="125"/>
      <c r="J109" s="125"/>
      <c r="K109" s="125"/>
      <c r="L109" s="125"/>
      <c r="M109" s="125"/>
    </row>
    <row r="110" spans="1:13" s="248" customFormat="1" ht="12.75">
      <c r="A110" s="247" t="s">
        <v>252</v>
      </c>
      <c r="B110" s="247"/>
      <c r="C110" s="247"/>
      <c r="D110" s="247"/>
      <c r="E110" s="247"/>
      <c r="F110" s="247"/>
      <c r="G110" s="247"/>
      <c r="H110" s="247"/>
      <c r="I110" s="247"/>
      <c r="J110" s="247"/>
      <c r="K110" s="247"/>
      <c r="L110" s="247"/>
      <c r="M110" s="247"/>
    </row>
    <row r="111" spans="1:13" s="37" customFormat="1" ht="15">
      <c r="A111" s="125" t="s">
        <v>315</v>
      </c>
      <c r="B111" s="125"/>
      <c r="C111" s="125"/>
      <c r="D111" s="125"/>
      <c r="E111" s="125"/>
      <c r="F111" s="125"/>
      <c r="G111" s="125"/>
      <c r="H111" s="125"/>
      <c r="I111" s="125"/>
      <c r="J111" s="125"/>
      <c r="K111" s="125"/>
      <c r="L111" s="125"/>
      <c r="M111" s="125"/>
    </row>
    <row r="112" spans="1:13" s="37" customFormat="1" ht="12.75">
      <c r="A112" s="125" t="s">
        <v>286</v>
      </c>
      <c r="B112" s="125"/>
      <c r="C112" s="125"/>
      <c r="D112" s="125"/>
      <c r="E112" s="125"/>
      <c r="F112" s="125"/>
      <c r="G112" s="125"/>
      <c r="H112" s="125"/>
      <c r="I112" s="125"/>
      <c r="J112" s="125"/>
      <c r="K112" s="125"/>
      <c r="L112" s="125"/>
      <c r="M112" s="125"/>
    </row>
    <row r="113" spans="1:13" s="37" customFormat="1" ht="12.75">
      <c r="A113" s="125"/>
      <c r="B113" s="125"/>
      <c r="C113" s="125"/>
      <c r="D113" s="125"/>
      <c r="E113" s="125"/>
      <c r="F113" s="125"/>
      <c r="G113" s="125"/>
      <c r="H113" s="125"/>
      <c r="I113" s="125"/>
      <c r="J113" s="125"/>
      <c r="K113" s="125"/>
      <c r="L113" s="125"/>
      <c r="M113" s="125"/>
    </row>
    <row r="114" spans="1:13" s="248" customFormat="1" ht="25.5">
      <c r="A114" s="251" t="s">
        <v>253</v>
      </c>
      <c r="B114" s="251"/>
      <c r="C114" s="251"/>
      <c r="D114" s="251"/>
      <c r="E114" s="251"/>
      <c r="F114" s="251"/>
      <c r="G114" s="251"/>
      <c r="H114" s="251"/>
      <c r="I114" s="251"/>
      <c r="J114" s="251"/>
      <c r="K114" s="251"/>
      <c r="L114" s="251"/>
      <c r="M114" s="251"/>
    </row>
    <row r="115" spans="1:13" s="248" customFormat="1" ht="25.5">
      <c r="A115" s="251" t="s">
        <v>299</v>
      </c>
      <c r="B115" s="251"/>
      <c r="C115" s="251"/>
      <c r="D115" s="251"/>
      <c r="E115" s="251"/>
      <c r="F115" s="251"/>
      <c r="G115" s="251"/>
      <c r="H115" s="251"/>
      <c r="I115" s="251"/>
      <c r="J115" s="251"/>
      <c r="K115" s="251"/>
      <c r="L115" s="251"/>
      <c r="M115" s="251"/>
    </row>
    <row r="116" spans="1:13" s="37" customFormat="1" ht="12.75">
      <c r="A116" s="125"/>
      <c r="B116" s="125"/>
      <c r="C116" s="125"/>
      <c r="D116" s="125"/>
      <c r="E116" s="125"/>
      <c r="F116" s="125"/>
      <c r="G116" s="125"/>
      <c r="H116" s="125"/>
      <c r="I116" s="125"/>
      <c r="J116" s="125"/>
      <c r="K116" s="125"/>
      <c r="L116" s="125"/>
      <c r="M116" s="125"/>
    </row>
    <row r="117" spans="1:4" s="37" customFormat="1" ht="12.75">
      <c r="A117" s="125" t="s">
        <v>254</v>
      </c>
      <c r="B117" s="125"/>
      <c r="C117" s="125"/>
      <c r="D117" s="125"/>
    </row>
    <row r="118" spans="1:4" s="37" customFormat="1" ht="12.75">
      <c r="A118" s="125" t="s">
        <v>255</v>
      </c>
      <c r="B118" s="125"/>
      <c r="C118" s="125"/>
      <c r="D118" s="125"/>
    </row>
    <row r="119" spans="1:4" s="37" customFormat="1" ht="12.75">
      <c r="A119" s="125" t="s">
        <v>284</v>
      </c>
      <c r="B119" s="125"/>
      <c r="C119" s="125"/>
      <c r="D119" s="125"/>
    </row>
    <row r="120" spans="1:4" s="37" customFormat="1" ht="12.75">
      <c r="A120" s="125"/>
      <c r="B120" s="125"/>
      <c r="C120" s="125"/>
      <c r="D120" s="125"/>
    </row>
    <row r="121" spans="1:4" s="37" customFormat="1" ht="12.75">
      <c r="A121" s="125" t="s">
        <v>305</v>
      </c>
      <c r="B121" s="125"/>
      <c r="C121" s="125"/>
      <c r="D121" s="125"/>
    </row>
    <row r="122" s="37" customFormat="1" ht="12.75"/>
    <row r="123" s="37" customFormat="1" ht="12.75">
      <c r="A123" s="239" t="s">
        <v>256</v>
      </c>
    </row>
    <row r="124" s="37" customFormat="1" ht="12.75">
      <c r="A124" s="251" t="s">
        <v>304</v>
      </c>
    </row>
    <row r="125" s="37" customFormat="1" ht="12.75">
      <c r="A125" s="251"/>
    </row>
    <row r="126" s="37" customFormat="1" ht="40.5">
      <c r="A126" s="247" t="s">
        <v>310</v>
      </c>
    </row>
    <row r="127" s="37" customFormat="1" ht="12.75">
      <c r="A127" s="247"/>
    </row>
    <row r="128" s="37" customFormat="1" ht="25.5">
      <c r="A128" s="247" t="s">
        <v>306</v>
      </c>
    </row>
    <row r="129" s="37" customFormat="1" ht="12.75">
      <c r="A129" s="247"/>
    </row>
    <row r="130" s="37" customFormat="1" ht="12.75"/>
    <row r="131" s="37" customFormat="1" ht="15.75">
      <c r="A131" s="128" t="s">
        <v>75</v>
      </c>
    </row>
    <row r="132" spans="1:7" s="37" customFormat="1" ht="12.75">
      <c r="A132" s="125" t="s">
        <v>268</v>
      </c>
      <c r="B132" s="125"/>
      <c r="C132" s="125"/>
      <c r="D132" s="125"/>
      <c r="E132" s="125"/>
      <c r="F132" s="125"/>
      <c r="G132" s="125"/>
    </row>
    <row r="133" spans="1:7" s="37" customFormat="1" ht="12.75">
      <c r="A133" s="125"/>
      <c r="B133" s="125"/>
      <c r="C133" s="125"/>
      <c r="D133" s="125"/>
      <c r="E133" s="125"/>
      <c r="F133" s="125"/>
      <c r="G133" s="125"/>
    </row>
    <row r="134" spans="1:7" s="37" customFormat="1" ht="15">
      <c r="A134" s="125" t="s">
        <v>267</v>
      </c>
      <c r="B134" s="125"/>
      <c r="C134" s="125"/>
      <c r="D134" s="125"/>
      <c r="E134" s="125"/>
      <c r="F134" s="125"/>
      <c r="G134" s="125"/>
    </row>
    <row r="135" spans="1:7" s="37" customFormat="1" ht="12.75">
      <c r="A135" s="125"/>
      <c r="B135" s="125"/>
      <c r="C135" s="125"/>
      <c r="D135" s="125"/>
      <c r="E135" s="125"/>
      <c r="F135" s="125"/>
      <c r="G135" s="125"/>
    </row>
    <row r="136" spans="1:7" s="37" customFormat="1" ht="12.75">
      <c r="A136" s="125" t="s">
        <v>205</v>
      </c>
      <c r="B136" s="125"/>
      <c r="C136" s="125"/>
      <c r="D136" s="125"/>
      <c r="E136" s="125"/>
      <c r="F136" s="125"/>
      <c r="G136" s="125"/>
    </row>
    <row r="137" spans="1:7" s="37" customFormat="1" ht="12.75">
      <c r="A137" s="125"/>
      <c r="B137" s="125"/>
      <c r="C137" s="125"/>
      <c r="D137" s="125"/>
      <c r="E137" s="125"/>
      <c r="F137" s="125"/>
      <c r="G137" s="125"/>
    </row>
    <row r="138" spans="1:12" s="248" customFormat="1" ht="12.75">
      <c r="A138" s="251" t="s">
        <v>283</v>
      </c>
      <c r="B138" s="251"/>
      <c r="C138" s="251"/>
      <c r="D138" s="251"/>
      <c r="E138" s="251"/>
      <c r="F138" s="251"/>
      <c r="G138" s="251"/>
      <c r="H138" s="254"/>
      <c r="I138" s="254"/>
      <c r="J138" s="254"/>
      <c r="K138" s="254"/>
      <c r="L138" s="254"/>
    </row>
    <row r="139" spans="1:12" s="37" customFormat="1" ht="12.75">
      <c r="A139" s="239" t="s">
        <v>288</v>
      </c>
      <c r="B139" s="239"/>
      <c r="C139" s="239"/>
      <c r="D139" s="239"/>
      <c r="E139" s="239"/>
      <c r="F139" s="239"/>
      <c r="G139" s="239"/>
      <c r="H139" s="246"/>
      <c r="I139" s="246"/>
      <c r="J139" s="246"/>
      <c r="K139" s="246"/>
      <c r="L139" s="246"/>
    </row>
    <row r="140" spans="1:12" s="37" customFormat="1" ht="12.75">
      <c r="A140" s="239"/>
      <c r="B140" s="239"/>
      <c r="C140" s="239"/>
      <c r="D140" s="239"/>
      <c r="E140" s="239"/>
      <c r="F140" s="239"/>
      <c r="G140" s="239"/>
      <c r="H140" s="246"/>
      <c r="I140" s="246"/>
      <c r="J140" s="246"/>
      <c r="K140" s="246"/>
      <c r="L140" s="246"/>
    </row>
    <row r="141" spans="1:7" s="37" customFormat="1" ht="12.75">
      <c r="A141" s="125" t="s">
        <v>206</v>
      </c>
      <c r="B141" s="125"/>
      <c r="C141" s="125"/>
      <c r="D141" s="125"/>
      <c r="E141" s="125"/>
      <c r="F141" s="125"/>
      <c r="G141" s="125"/>
    </row>
    <row r="142" spans="4:7" s="37" customFormat="1" ht="12.75">
      <c r="D142" s="125"/>
      <c r="E142" s="125"/>
      <c r="F142" s="125"/>
      <c r="G142" s="125"/>
    </row>
    <row r="143" spans="1:7" s="248" customFormat="1" ht="27">
      <c r="A143" s="251" t="s">
        <v>312</v>
      </c>
      <c r="D143" s="247"/>
      <c r="E143" s="247"/>
      <c r="F143" s="247"/>
      <c r="G143" s="247"/>
    </row>
    <row r="144" spans="1:7" s="248" customFormat="1" ht="12.75">
      <c r="A144" s="251" t="s">
        <v>279</v>
      </c>
      <c r="D144" s="247"/>
      <c r="E144" s="247"/>
      <c r="F144" s="247"/>
      <c r="G144" s="247"/>
    </row>
    <row r="145" spans="1:7" s="37" customFormat="1" ht="12.75">
      <c r="A145" s="239"/>
      <c r="D145" s="125"/>
      <c r="E145" s="125"/>
      <c r="F145" s="125"/>
      <c r="G145" s="125"/>
    </row>
    <row r="146" spans="1:7" s="37" customFormat="1" ht="12.75">
      <c r="A146" s="125" t="s">
        <v>207</v>
      </c>
      <c r="B146" s="125"/>
      <c r="C146" s="125"/>
      <c r="D146" s="125"/>
      <c r="E146" s="125"/>
      <c r="F146" s="125"/>
      <c r="G146" s="125"/>
    </row>
    <row r="147" spans="1:7" s="248" customFormat="1" ht="25.5">
      <c r="A147" s="247" t="s">
        <v>300</v>
      </c>
      <c r="B147" s="247"/>
      <c r="C147" s="247"/>
      <c r="D147" s="247"/>
      <c r="E147" s="247"/>
      <c r="F147" s="247"/>
      <c r="G147" s="247"/>
    </row>
    <row r="148" spans="1:7" s="37" customFormat="1" ht="12.75">
      <c r="A148" s="125"/>
      <c r="B148" s="125"/>
      <c r="C148" s="125"/>
      <c r="D148" s="125"/>
      <c r="E148" s="125"/>
      <c r="F148" s="125"/>
      <c r="G148" s="125"/>
    </row>
    <row r="149" spans="1:7" s="248" customFormat="1" ht="12.75" customHeight="1">
      <c r="A149" s="251" t="s">
        <v>280</v>
      </c>
      <c r="B149" s="247"/>
      <c r="C149" s="247"/>
      <c r="D149" s="247"/>
      <c r="E149" s="247"/>
      <c r="F149" s="247"/>
      <c r="G149" s="247"/>
    </row>
    <row r="150" spans="1:7" s="37" customFormat="1" ht="12.75">
      <c r="A150" s="239" t="s">
        <v>281</v>
      </c>
      <c r="B150" s="125"/>
      <c r="C150" s="125"/>
      <c r="D150" s="125"/>
      <c r="E150" s="125"/>
      <c r="F150" s="125"/>
      <c r="G150" s="125"/>
    </row>
    <row r="151" spans="1:7" s="248" customFormat="1" ht="25.5">
      <c r="A151" s="251" t="s">
        <v>303</v>
      </c>
      <c r="B151" s="247"/>
      <c r="C151" s="247"/>
      <c r="D151" s="247"/>
      <c r="E151" s="247"/>
      <c r="F151" s="247"/>
      <c r="G151" s="247"/>
    </row>
    <row r="152" spans="1:7" s="37" customFormat="1" ht="12.75">
      <c r="A152" s="239"/>
      <c r="B152" s="125"/>
      <c r="C152" s="125"/>
      <c r="D152" s="125"/>
      <c r="E152" s="125"/>
      <c r="F152" s="125"/>
      <c r="G152" s="125"/>
    </row>
    <row r="153" spans="1:7" s="37" customFormat="1" ht="12.75">
      <c r="A153" s="125" t="s">
        <v>208</v>
      </c>
      <c r="B153" s="125"/>
      <c r="C153" s="125"/>
      <c r="D153" s="125"/>
      <c r="E153" s="125"/>
      <c r="F153" s="125"/>
      <c r="G153" s="125"/>
    </row>
    <row r="154" spans="2:7" s="37" customFormat="1" ht="12.75">
      <c r="B154" s="125"/>
      <c r="C154" s="125"/>
      <c r="D154" s="125"/>
      <c r="E154" s="125"/>
      <c r="F154" s="125"/>
      <c r="G154" s="125"/>
    </row>
    <row r="155" spans="1:7" s="248" customFormat="1" ht="25.5">
      <c r="A155" s="247" t="s">
        <v>163</v>
      </c>
      <c r="B155" s="247"/>
      <c r="C155" s="247"/>
      <c r="D155" s="247"/>
      <c r="E155" s="247"/>
      <c r="F155" s="247"/>
      <c r="G155" s="247"/>
    </row>
    <row r="156" spans="1:3" s="37" customFormat="1" ht="12.75">
      <c r="A156" s="125" t="s">
        <v>276</v>
      </c>
      <c r="B156" s="125"/>
      <c r="C156" s="125"/>
    </row>
    <row r="157" spans="1:3" s="248" customFormat="1" ht="15">
      <c r="A157" s="247" t="s">
        <v>170</v>
      </c>
      <c r="B157" s="247"/>
      <c r="C157" s="247"/>
    </row>
    <row r="158" spans="1:3" s="37" customFormat="1" ht="12.75">
      <c r="A158" s="125" t="s">
        <v>277</v>
      </c>
      <c r="B158" s="125"/>
      <c r="C158" s="125"/>
    </row>
    <row r="159" spans="1:3" s="37" customFormat="1" ht="12.75">
      <c r="A159" s="125" t="s">
        <v>124</v>
      </c>
      <c r="B159" s="125"/>
      <c r="C159" s="125"/>
    </row>
    <row r="160" s="37" customFormat="1" ht="12.75"/>
    <row r="161" spans="1:5" s="248" customFormat="1" ht="12.75">
      <c r="A161" s="251" t="s">
        <v>309</v>
      </c>
      <c r="B161" s="251"/>
      <c r="C161" s="251"/>
      <c r="D161" s="251"/>
      <c r="E161" s="251"/>
    </row>
    <row r="162" spans="1:5" s="37" customFormat="1" ht="12.75">
      <c r="A162" s="239" t="s">
        <v>282</v>
      </c>
      <c r="B162" s="239"/>
      <c r="C162" s="239"/>
      <c r="D162" s="239"/>
      <c r="E162" s="239"/>
    </row>
    <row r="163" spans="1:5" s="37" customFormat="1" ht="12.75">
      <c r="A163" s="239"/>
      <c r="B163" s="239"/>
      <c r="C163" s="239"/>
      <c r="D163" s="239"/>
      <c r="E163" s="239"/>
    </row>
    <row r="164" s="37" customFormat="1" ht="12.75"/>
    <row r="165" s="37" customFormat="1" ht="17.25">
      <c r="A165" s="245" t="s">
        <v>265</v>
      </c>
    </row>
    <row r="166" s="37" customFormat="1" ht="12.75"/>
    <row r="167" spans="1:4" s="37" customFormat="1" ht="12.75">
      <c r="A167" s="125" t="s">
        <v>266</v>
      </c>
      <c r="B167" s="125"/>
      <c r="C167" s="125"/>
      <c r="D167" s="125"/>
    </row>
    <row r="168" spans="1:4" s="37" customFormat="1" ht="12.75">
      <c r="A168" s="125"/>
      <c r="B168" s="125"/>
      <c r="C168" s="125"/>
      <c r="D168" s="125"/>
    </row>
    <row r="169" spans="1:4" s="37" customFormat="1" ht="12.75">
      <c r="A169" s="125" t="s">
        <v>460</v>
      </c>
      <c r="B169" s="125"/>
      <c r="C169" s="125"/>
      <c r="D169" s="125"/>
    </row>
    <row r="170" spans="1:4" s="37" customFormat="1" ht="12.75">
      <c r="A170" s="125" t="s">
        <v>461</v>
      </c>
      <c r="B170" s="125"/>
      <c r="C170" s="125"/>
      <c r="D170" s="125"/>
    </row>
    <row r="171" spans="1:4" s="37" customFormat="1" ht="12.75">
      <c r="A171" s="125" t="s">
        <v>462</v>
      </c>
      <c r="B171" s="125"/>
      <c r="C171" s="125"/>
      <c r="D171" s="125"/>
    </row>
    <row r="172" spans="1:4" s="37" customFormat="1" ht="12.75">
      <c r="A172" s="125" t="s">
        <v>463</v>
      </c>
      <c r="B172" s="125"/>
      <c r="C172" s="125"/>
      <c r="D172" s="125"/>
    </row>
    <row r="173" spans="1:3" s="37" customFormat="1" ht="12.75">
      <c r="A173" s="125" t="s">
        <v>464</v>
      </c>
      <c r="B173" s="125"/>
      <c r="C173" s="125"/>
    </row>
    <row r="174" s="37" customFormat="1" ht="12.75">
      <c r="A174" s="37" t="s">
        <v>465</v>
      </c>
    </row>
    <row r="175" s="37" customFormat="1" ht="12.75">
      <c r="A175" s="37" t="s">
        <v>466</v>
      </c>
    </row>
    <row r="176" s="37" customFormat="1" ht="12.75">
      <c r="A176" s="37" t="s">
        <v>467</v>
      </c>
    </row>
    <row r="177" s="37" customFormat="1" ht="12.75">
      <c r="A177" s="37" t="s">
        <v>468</v>
      </c>
    </row>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row r="249" s="37" customFormat="1" ht="12.75"/>
    <row r="250" s="37" customFormat="1" ht="12.75"/>
    <row r="251" s="37" customFormat="1" ht="12.75"/>
    <row r="252" s="37" customFormat="1" ht="12.75"/>
    <row r="253" s="37" customFormat="1" ht="12.75"/>
    <row r="254" s="37" customFormat="1" ht="12.75"/>
    <row r="255" s="37" customFormat="1" ht="12.75"/>
    <row r="256" s="37" customFormat="1" ht="12.75"/>
    <row r="257" s="37" customFormat="1" ht="12.75"/>
    <row r="258" s="37" customFormat="1" ht="12.75"/>
    <row r="259" s="37" customFormat="1" ht="12.75"/>
    <row r="260" s="37" customFormat="1" ht="12.75"/>
    <row r="261" s="37" customFormat="1" ht="12.75"/>
    <row r="262" s="37" customFormat="1" ht="12.75"/>
    <row r="263" s="37" customFormat="1" ht="12.75"/>
    <row r="264" s="37" customFormat="1" ht="12.75"/>
    <row r="265" s="37" customFormat="1" ht="12.75"/>
    <row r="266" s="37" customFormat="1" ht="12.75"/>
    <row r="267" s="37" customFormat="1" ht="12.75"/>
    <row r="268" s="37" customFormat="1" ht="12.75"/>
    <row r="269" s="37" customFormat="1" ht="12.75"/>
    <row r="270" s="37" customFormat="1" ht="12.75"/>
    <row r="271" s="37" customFormat="1" ht="12.75"/>
    <row r="272" s="37" customFormat="1" ht="12.75"/>
    <row r="273" s="37" customFormat="1" ht="12.75"/>
    <row r="274" s="37" customFormat="1" ht="12.75"/>
    <row r="275" s="37" customFormat="1" ht="12.75"/>
    <row r="276" s="37" customFormat="1" ht="12.75"/>
    <row r="277" s="37" customFormat="1" ht="12.75"/>
    <row r="278" s="37" customFormat="1" ht="12.75"/>
    <row r="279" s="37" customFormat="1" ht="12.75"/>
    <row r="280" s="37" customFormat="1" ht="12.75"/>
    <row r="281" s="37" customFormat="1" ht="12.75"/>
    <row r="282" s="37" customFormat="1" ht="12.75"/>
    <row r="283" s="37" customFormat="1" ht="12.75"/>
    <row r="284" s="37" customFormat="1" ht="12.75"/>
    <row r="285" s="37" customFormat="1" ht="12.75"/>
    <row r="286" s="37" customFormat="1" ht="12.75"/>
    <row r="287" s="37" customFormat="1" ht="12.75"/>
    <row r="288" s="37" customFormat="1" ht="12.75"/>
    <row r="289" s="37" customFormat="1" ht="12.75"/>
    <row r="290" s="37" customFormat="1" ht="12.75"/>
    <row r="291" s="37" customFormat="1" ht="12.75"/>
    <row r="292" s="37" customFormat="1" ht="12.75"/>
    <row r="293" s="37" customFormat="1" ht="12.75"/>
    <row r="294" s="37" customFormat="1" ht="12.75"/>
    <row r="295" s="37" customFormat="1" ht="12.75"/>
    <row r="296" s="37" customFormat="1" ht="12.75"/>
    <row r="297" s="37" customFormat="1" ht="12.75"/>
    <row r="298" s="37" customFormat="1" ht="12.75"/>
    <row r="299" s="37" customFormat="1" ht="12.75"/>
    <row r="300" s="37" customFormat="1" ht="12.75"/>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Blad7"/>
  <dimension ref="A1:K25"/>
  <sheetViews>
    <sheetView zoomScalePageLayoutView="0" workbookViewId="0" topLeftCell="A1">
      <selection activeCell="E25" sqref="E25"/>
    </sheetView>
  </sheetViews>
  <sheetFormatPr defaultColWidth="9.140625" defaultRowHeight="12.75"/>
  <sheetData>
    <row r="1" s="37" customFormat="1" ht="19.5">
      <c r="A1" s="58" t="s">
        <v>193</v>
      </c>
    </row>
    <row r="2" s="37" customFormat="1" ht="19.5">
      <c r="A2" s="58"/>
    </row>
    <row r="3" spans="1:3" s="37" customFormat="1" ht="15.75">
      <c r="A3" s="77" t="s">
        <v>149</v>
      </c>
      <c r="B3" s="129"/>
      <c r="C3" s="129"/>
    </row>
    <row r="4" s="37" customFormat="1" ht="15.75">
      <c r="A4" s="77"/>
    </row>
    <row r="5" s="37" customFormat="1" ht="15.75">
      <c r="A5" s="128" t="s">
        <v>220</v>
      </c>
    </row>
    <row r="6" s="37" customFormat="1" ht="12.75"/>
    <row r="7" s="37" customFormat="1" ht="15.75">
      <c r="A7" s="40" t="s">
        <v>42</v>
      </c>
    </row>
    <row r="8" s="37" customFormat="1" ht="12.75"/>
    <row r="9" spans="1:5" s="37" customFormat="1" ht="12.75">
      <c r="A9" s="57" t="s">
        <v>7</v>
      </c>
      <c r="B9" s="223">
        <v>0.021</v>
      </c>
      <c r="C9" s="53" t="s">
        <v>37</v>
      </c>
      <c r="D9" s="15"/>
      <c r="E9" s="16"/>
    </row>
    <row r="10" spans="1:5" s="37" customFormat="1" ht="12.75">
      <c r="A10" s="56" t="s">
        <v>8</v>
      </c>
      <c r="B10" s="126">
        <v>0.129</v>
      </c>
      <c r="C10" s="24" t="s">
        <v>41</v>
      </c>
      <c r="D10" s="62"/>
      <c r="E10" s="33"/>
    </row>
    <row r="11" spans="1:2" s="37" customFormat="1" ht="12.75">
      <c r="A11" s="59"/>
      <c r="B11" s="60"/>
    </row>
    <row r="12" spans="1:2" s="37" customFormat="1" ht="15.75">
      <c r="A12" s="40" t="s">
        <v>194</v>
      </c>
      <c r="B12" s="60"/>
    </row>
    <row r="13" spans="1:2" s="37" customFormat="1" ht="12" customHeight="1">
      <c r="A13" s="40"/>
      <c r="B13" s="60"/>
    </row>
    <row r="14" spans="1:2" s="37" customFormat="1" ht="12.75">
      <c r="A14" s="125" t="s">
        <v>394</v>
      </c>
      <c r="B14" s="60"/>
    </row>
    <row r="15" spans="1:3" s="37" customFormat="1" ht="12.75">
      <c r="A15" s="244" t="s">
        <v>395</v>
      </c>
      <c r="B15" s="109"/>
      <c r="C15" s="109"/>
    </row>
    <row r="16" s="37" customFormat="1" ht="12.75"/>
    <row r="17" spans="1:11" s="37" customFormat="1" ht="15">
      <c r="A17" s="14" t="s">
        <v>13</v>
      </c>
      <c r="B17" s="53"/>
      <c r="C17" s="54"/>
      <c r="I17" s="323"/>
      <c r="K17" s="36"/>
    </row>
    <row r="18" spans="1:11" s="37" customFormat="1" ht="12.75">
      <c r="A18" s="20" t="s">
        <v>101</v>
      </c>
      <c r="B18" s="21"/>
      <c r="C18" s="22"/>
      <c r="I18" s="323"/>
      <c r="K18" s="36"/>
    </row>
    <row r="19" spans="1:11" s="37" customFormat="1" ht="12.75">
      <c r="A19" s="55" t="s">
        <v>1</v>
      </c>
      <c r="B19" s="256">
        <v>0.51695</v>
      </c>
      <c r="C19" s="22" t="s">
        <v>37</v>
      </c>
      <c r="I19" s="36"/>
      <c r="K19" s="36"/>
    </row>
    <row r="20" spans="1:11" s="37" customFormat="1" ht="12.75">
      <c r="A20" s="55" t="s">
        <v>2</v>
      </c>
      <c r="B20" s="319">
        <v>0.05799</v>
      </c>
      <c r="C20" s="22" t="s">
        <v>37</v>
      </c>
      <c r="I20" s="36"/>
      <c r="K20" s="36"/>
    </row>
    <row r="21" spans="1:11" s="37" customFormat="1" ht="12.75">
      <c r="A21" s="55" t="s">
        <v>3</v>
      </c>
      <c r="B21" s="127">
        <v>0.00039892</v>
      </c>
      <c r="C21" s="22" t="s">
        <v>37</v>
      </c>
      <c r="I21" s="36"/>
      <c r="K21" s="36"/>
    </row>
    <row r="22" spans="1:9" s="37" customFormat="1" ht="12.75">
      <c r="A22" s="55" t="s">
        <v>4</v>
      </c>
      <c r="B22" s="127">
        <v>0.0030163</v>
      </c>
      <c r="C22" s="22" t="s">
        <v>37</v>
      </c>
      <c r="I22" s="323"/>
    </row>
    <row r="23" spans="1:11" s="37" customFormat="1" ht="12.75">
      <c r="A23" s="55" t="s">
        <v>5</v>
      </c>
      <c r="B23" s="127">
        <v>0.0002</v>
      </c>
      <c r="C23" s="22" t="s">
        <v>37</v>
      </c>
      <c r="K23" s="36"/>
    </row>
    <row r="24" spans="1:3" s="37" customFormat="1" ht="12.75">
      <c r="A24" s="56" t="s">
        <v>20</v>
      </c>
      <c r="B24" s="171">
        <f>1-(SUM(B19:B23)+B10)</f>
        <v>0.29244478000000007</v>
      </c>
      <c r="C24" s="25" t="s">
        <v>37</v>
      </c>
    </row>
    <row r="25" s="37" customFormat="1" ht="12.75">
      <c r="E25" s="324"/>
    </row>
    <row r="26" s="37" customFormat="1" ht="12.75"/>
    <row r="27" s="37" customFormat="1" ht="12.75"/>
    <row r="28" s="37" customFormat="1" ht="12.75"/>
    <row r="29" s="37" customFormat="1" ht="12.75"/>
    <row r="30" s="37" customFormat="1" ht="12.75"/>
    <row r="31" s="37" customFormat="1" ht="12.75"/>
    <row r="32" s="37" customFormat="1" ht="12.75"/>
    <row r="33" s="37" customFormat="1" ht="12.75"/>
    <row r="34" s="37" customFormat="1" ht="12.75"/>
    <row r="35" s="37" customFormat="1" ht="12.75"/>
    <row r="36" s="37" customFormat="1" ht="12.75"/>
    <row r="37" s="37" customFormat="1" ht="12.75"/>
    <row r="38" s="37" customFormat="1" ht="12.75"/>
    <row r="39" s="37" customFormat="1" ht="12.75"/>
    <row r="40" s="37" customFormat="1" ht="12.75"/>
    <row r="41" s="37" customFormat="1" ht="12.75"/>
    <row r="42" s="37" customFormat="1" ht="12.75"/>
    <row r="43" s="37" customFormat="1" ht="12.75"/>
    <row r="44" s="37" customFormat="1" ht="12.75"/>
    <row r="45" s="37" customFormat="1" ht="12.75"/>
    <row r="46" s="37" customFormat="1" ht="12.75"/>
    <row r="47" s="37" customFormat="1" ht="12.75"/>
    <row r="48" s="37" customFormat="1" ht="12.75"/>
    <row r="49" s="37" customFormat="1" ht="12.75"/>
    <row r="50" s="37" customFormat="1" ht="12.75"/>
    <row r="51" s="37" customFormat="1" ht="12.75"/>
    <row r="52" s="37" customFormat="1" ht="12.75"/>
    <row r="53" s="37" customFormat="1" 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Blad1"/>
  <dimension ref="A1:AL67"/>
  <sheetViews>
    <sheetView zoomScalePageLayoutView="0" workbookViewId="0" topLeftCell="A17">
      <selection activeCell="J44" sqref="J44"/>
    </sheetView>
  </sheetViews>
  <sheetFormatPr defaultColWidth="9.140625" defaultRowHeight="12.75"/>
  <cols>
    <col min="1" max="1" width="9.421875" style="0" customWidth="1"/>
    <col min="2" max="2" width="8.140625" style="0" customWidth="1"/>
    <col min="4" max="4" width="2.57421875" style="0" customWidth="1"/>
    <col min="6" max="6" width="8.28125" style="0" customWidth="1"/>
    <col min="7" max="7" width="10.421875" style="0" customWidth="1"/>
    <col min="8" max="8" width="3.00390625" style="0" customWidth="1"/>
    <col min="10" max="10" width="8.28125" style="0" customWidth="1"/>
    <col min="12" max="12" width="11.140625" style="0" customWidth="1"/>
    <col min="16" max="16" width="11.421875" style="0" customWidth="1"/>
    <col min="20" max="38" width="9.140625" style="37" customWidth="1"/>
  </cols>
  <sheetData>
    <row r="1" spans="1:19" ht="19.5">
      <c r="A1" s="58" t="s">
        <v>0</v>
      </c>
      <c r="B1" s="37"/>
      <c r="C1" s="37"/>
      <c r="D1" s="37"/>
      <c r="E1" s="37"/>
      <c r="F1" s="43"/>
      <c r="G1" s="37"/>
      <c r="H1" s="37"/>
      <c r="I1" s="37"/>
      <c r="J1" s="37"/>
      <c r="K1" s="37"/>
      <c r="L1" s="37"/>
      <c r="M1" s="37"/>
      <c r="N1" s="37"/>
      <c r="O1" s="37"/>
      <c r="P1" s="37"/>
      <c r="Q1" s="37"/>
      <c r="R1" s="37"/>
      <c r="S1" s="37"/>
    </row>
    <row r="2" spans="1:19" ht="19.5">
      <c r="A2" s="58"/>
      <c r="B2" s="37"/>
      <c r="C2" s="37"/>
      <c r="D2" s="37"/>
      <c r="E2" s="37"/>
      <c r="F2" s="43"/>
      <c r="G2" s="37"/>
      <c r="H2" s="37"/>
      <c r="I2" s="37"/>
      <c r="J2" s="37"/>
      <c r="K2" s="37"/>
      <c r="L2" s="37"/>
      <c r="M2" s="37"/>
      <c r="N2" s="37"/>
      <c r="O2" s="37"/>
      <c r="P2" s="37"/>
      <c r="Q2" s="37"/>
      <c r="R2" s="37"/>
      <c r="S2" s="37"/>
    </row>
    <row r="3" spans="1:19" ht="15.75">
      <c r="A3" s="77" t="s">
        <v>149</v>
      </c>
      <c r="B3" s="129"/>
      <c r="C3" s="129"/>
      <c r="D3" s="129"/>
      <c r="E3" s="129"/>
      <c r="F3" s="43"/>
      <c r="G3" s="129"/>
      <c r="H3" s="129"/>
      <c r="I3" s="129"/>
      <c r="J3" s="37"/>
      <c r="K3" s="37"/>
      <c r="L3" s="37"/>
      <c r="M3" s="37"/>
      <c r="N3" s="37"/>
      <c r="O3" s="37"/>
      <c r="P3" s="37"/>
      <c r="Q3" s="37"/>
      <c r="R3" s="37"/>
      <c r="S3" s="37"/>
    </row>
    <row r="4" spans="1:19" ht="12.75">
      <c r="A4" s="37"/>
      <c r="B4" s="60"/>
      <c r="C4" s="37"/>
      <c r="D4" s="37"/>
      <c r="E4" s="37"/>
      <c r="F4" s="37"/>
      <c r="G4" s="37"/>
      <c r="H4" s="37"/>
      <c r="I4" s="37"/>
      <c r="J4" s="37"/>
      <c r="K4" s="37"/>
      <c r="L4" s="37"/>
      <c r="M4" s="37"/>
      <c r="N4" s="37"/>
      <c r="O4" s="37"/>
      <c r="P4" s="37"/>
      <c r="Q4" s="37"/>
      <c r="R4" s="37"/>
      <c r="S4" s="37"/>
    </row>
    <row r="5" spans="1:19" ht="15.75">
      <c r="A5" s="128" t="s">
        <v>148</v>
      </c>
      <c r="B5" s="37"/>
      <c r="C5" s="37"/>
      <c r="D5" s="37"/>
      <c r="E5" s="37"/>
      <c r="F5" s="43"/>
      <c r="G5" s="37"/>
      <c r="H5" s="37"/>
      <c r="I5" s="37"/>
      <c r="J5" s="37"/>
      <c r="K5" s="37"/>
      <c r="L5" s="37"/>
      <c r="M5" s="37"/>
      <c r="N5" s="37"/>
      <c r="O5" s="37"/>
      <c r="P5" s="37"/>
      <c r="Q5" s="37"/>
      <c r="R5" s="37"/>
      <c r="S5" s="37"/>
    </row>
    <row r="6" spans="1:19" ht="12.75">
      <c r="A6" s="37"/>
      <c r="B6" s="37"/>
      <c r="C6" s="37"/>
      <c r="D6" s="37"/>
      <c r="E6" s="37"/>
      <c r="F6" s="37"/>
      <c r="G6" s="37"/>
      <c r="H6" s="37"/>
      <c r="I6" s="37"/>
      <c r="J6" s="37"/>
      <c r="K6" s="37"/>
      <c r="L6" s="37"/>
      <c r="M6" s="37"/>
      <c r="N6" s="37"/>
      <c r="O6" s="37"/>
      <c r="P6" s="37"/>
      <c r="Q6" s="37"/>
      <c r="R6" s="37"/>
      <c r="S6" s="37"/>
    </row>
    <row r="7" spans="1:19" ht="15.75">
      <c r="A7" s="77" t="s">
        <v>275</v>
      </c>
      <c r="B7" s="37"/>
      <c r="C7" s="37"/>
      <c r="D7" s="37"/>
      <c r="E7" s="37"/>
      <c r="F7" s="37"/>
      <c r="G7" s="37"/>
      <c r="H7" s="37"/>
      <c r="I7" s="37"/>
      <c r="J7" s="37"/>
      <c r="K7" s="37"/>
      <c r="L7" s="37"/>
      <c r="M7" s="37"/>
      <c r="N7" s="37"/>
      <c r="O7" s="37"/>
      <c r="P7" s="37"/>
      <c r="Q7" s="37"/>
      <c r="R7" s="37"/>
      <c r="S7" s="37"/>
    </row>
    <row r="8" spans="1:19" ht="12.75">
      <c r="A8" s="37"/>
      <c r="B8" s="37"/>
      <c r="C8" s="37"/>
      <c r="D8" s="37"/>
      <c r="E8" s="37"/>
      <c r="F8" s="37"/>
      <c r="G8" s="37"/>
      <c r="H8" s="37"/>
      <c r="I8" s="37"/>
      <c r="J8" s="37"/>
      <c r="K8" s="37"/>
      <c r="L8" s="37"/>
      <c r="M8" s="37"/>
      <c r="N8" s="37"/>
      <c r="O8" s="37"/>
      <c r="P8" s="37"/>
      <c r="Q8" s="37"/>
      <c r="R8" s="37"/>
      <c r="S8" s="37"/>
    </row>
    <row r="9" spans="1:19" ht="15">
      <c r="A9" s="194" t="s">
        <v>152</v>
      </c>
      <c r="B9" s="195"/>
      <c r="C9" s="195"/>
      <c r="D9" s="195"/>
      <c r="E9" s="196"/>
      <c r="F9" s="37"/>
      <c r="G9" s="37"/>
      <c r="H9" s="37"/>
      <c r="I9" s="37"/>
      <c r="J9" s="37"/>
      <c r="K9" s="37"/>
      <c r="L9" s="37"/>
      <c r="M9" s="37"/>
      <c r="N9" s="37"/>
      <c r="O9" s="37"/>
      <c r="P9" s="37"/>
      <c r="Q9" s="37"/>
      <c r="R9" s="37"/>
      <c r="S9" s="37"/>
    </row>
    <row r="10" spans="1:19" ht="12.75">
      <c r="A10" s="197" t="s">
        <v>7</v>
      </c>
      <c r="B10" s="228">
        <f>Start!B9</f>
        <v>0.021</v>
      </c>
      <c r="C10" s="198" t="s">
        <v>37</v>
      </c>
      <c r="D10" s="199"/>
      <c r="E10" s="200"/>
      <c r="F10" s="37"/>
      <c r="G10" s="37"/>
      <c r="H10" s="37"/>
      <c r="I10" s="37"/>
      <c r="J10" s="37"/>
      <c r="K10" s="37"/>
      <c r="L10" s="37"/>
      <c r="M10" s="37"/>
      <c r="N10" s="37"/>
      <c r="O10" s="37"/>
      <c r="P10" s="37"/>
      <c r="Q10" s="37"/>
      <c r="R10" s="37"/>
      <c r="S10" s="37"/>
    </row>
    <row r="11" spans="1:19" ht="12.75">
      <c r="A11" s="201" t="s">
        <v>8</v>
      </c>
      <c r="B11" s="229">
        <f>Start!B10</f>
        <v>0.129</v>
      </c>
      <c r="C11" s="203" t="s">
        <v>41</v>
      </c>
      <c r="D11" s="204"/>
      <c r="E11" s="205"/>
      <c r="F11" s="37"/>
      <c r="G11" s="37"/>
      <c r="H11" s="37"/>
      <c r="I11" s="37"/>
      <c r="J11" s="37"/>
      <c r="K11" s="37"/>
      <c r="L11" s="37"/>
      <c r="M11" s="37"/>
      <c r="N11" s="37"/>
      <c r="O11" s="37"/>
      <c r="P11" s="37"/>
      <c r="Q11" s="37"/>
      <c r="R11" s="37"/>
      <c r="S11" s="37"/>
    </row>
    <row r="12" spans="1:19" ht="12.75">
      <c r="A12" s="37"/>
      <c r="B12" s="37"/>
      <c r="C12" s="37"/>
      <c r="D12" s="37"/>
      <c r="E12" s="37"/>
      <c r="F12" s="37"/>
      <c r="G12" s="37"/>
      <c r="H12" s="37"/>
      <c r="I12" s="37"/>
      <c r="J12" s="37"/>
      <c r="K12" s="37"/>
      <c r="L12" s="37"/>
      <c r="M12" s="37"/>
      <c r="N12" s="37"/>
      <c r="O12" s="37"/>
      <c r="P12" s="37"/>
      <c r="Q12" s="37"/>
      <c r="R12" s="37"/>
      <c r="S12" s="37"/>
    </row>
    <row r="13" spans="1:19" ht="15.75">
      <c r="A13" s="128"/>
      <c r="B13" s="60"/>
      <c r="C13" s="37"/>
      <c r="D13" s="37"/>
      <c r="E13" s="37"/>
      <c r="F13" s="37"/>
      <c r="G13" s="37"/>
      <c r="H13" s="37"/>
      <c r="I13" s="37"/>
      <c r="J13" s="37"/>
      <c r="K13" s="37"/>
      <c r="L13" s="37"/>
      <c r="M13" s="37"/>
      <c r="N13" s="37"/>
      <c r="O13" s="37"/>
      <c r="P13" s="37"/>
      <c r="Q13" s="37"/>
      <c r="R13" s="37"/>
      <c r="S13" s="37"/>
    </row>
    <row r="14" spans="1:19" ht="15.75">
      <c r="A14" s="40" t="s">
        <v>196</v>
      </c>
      <c r="B14" s="60"/>
      <c r="C14" s="37"/>
      <c r="D14" s="37"/>
      <c r="E14" s="37"/>
      <c r="F14" s="37"/>
      <c r="G14" s="37"/>
      <c r="H14" s="37"/>
      <c r="I14" s="37"/>
      <c r="J14" s="37"/>
      <c r="K14" s="37"/>
      <c r="L14" s="37"/>
      <c r="M14" s="37"/>
      <c r="N14" s="37"/>
      <c r="O14" s="37"/>
      <c r="P14" s="37"/>
      <c r="Q14" s="37"/>
      <c r="R14" s="37"/>
      <c r="S14" s="37"/>
    </row>
    <row r="15" spans="1:19" ht="15.75">
      <c r="A15" s="40"/>
      <c r="B15" s="60"/>
      <c r="C15" s="37"/>
      <c r="D15" s="37"/>
      <c r="E15" s="37"/>
      <c r="F15" s="37"/>
      <c r="G15" s="37"/>
      <c r="H15" s="37"/>
      <c r="I15" s="37"/>
      <c r="J15" s="37"/>
      <c r="K15" s="37"/>
      <c r="L15" s="37"/>
      <c r="M15" s="37"/>
      <c r="N15" s="37"/>
      <c r="O15" s="37"/>
      <c r="P15" s="37"/>
      <c r="Q15" s="37"/>
      <c r="R15" s="37"/>
      <c r="S15" s="37"/>
    </row>
    <row r="16" spans="1:38" s="112" customFormat="1" ht="12">
      <c r="A16" s="109" t="s">
        <v>153</v>
      </c>
      <c r="B16" s="109"/>
      <c r="C16" s="109"/>
      <c r="D16" s="109"/>
      <c r="E16" s="142" t="s">
        <v>154</v>
      </c>
      <c r="F16" s="111"/>
      <c r="G16" s="142"/>
      <c r="H16" s="109"/>
      <c r="I16" s="109" t="s">
        <v>155</v>
      </c>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row>
    <row r="17" spans="1:38" s="112" customFormat="1" ht="12">
      <c r="A17" s="109"/>
      <c r="B17" s="109"/>
      <c r="C17" s="109"/>
      <c r="D17" s="109"/>
      <c r="E17" s="142"/>
      <c r="F17" s="111"/>
      <c r="G17" s="142"/>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row>
    <row r="18" spans="1:19" ht="15">
      <c r="A18" s="14" t="s">
        <v>13</v>
      </c>
      <c r="B18" s="53"/>
      <c r="C18" s="54"/>
      <c r="E18" s="325" t="s">
        <v>13</v>
      </c>
      <c r="F18" s="326"/>
      <c r="G18" s="327"/>
      <c r="H18" s="37"/>
      <c r="I18" s="14" t="s">
        <v>13</v>
      </c>
      <c r="J18" s="53"/>
      <c r="K18" s="54"/>
      <c r="L18" s="37"/>
      <c r="M18" s="37"/>
      <c r="N18" s="37"/>
      <c r="O18" s="37"/>
      <c r="P18" s="37"/>
      <c r="Q18" s="37"/>
      <c r="R18" s="37"/>
      <c r="S18" s="37"/>
    </row>
    <row r="19" spans="1:19" ht="12.75">
      <c r="A19" s="20" t="s">
        <v>11</v>
      </c>
      <c r="B19" s="21"/>
      <c r="C19" s="22"/>
      <c r="D19" s="37"/>
      <c r="E19" s="328" t="s">
        <v>31</v>
      </c>
      <c r="F19" s="329"/>
      <c r="G19" s="330"/>
      <c r="H19" s="35"/>
      <c r="I19" s="20" t="s">
        <v>12</v>
      </c>
      <c r="J19" s="21"/>
      <c r="K19" s="22"/>
      <c r="L19" s="35"/>
      <c r="M19" s="37"/>
      <c r="N19" s="37"/>
      <c r="O19" s="37"/>
      <c r="P19" s="35"/>
      <c r="Q19" s="37"/>
      <c r="R19" s="37"/>
      <c r="S19" s="37"/>
    </row>
    <row r="20" spans="1:19" ht="12.75">
      <c r="A20" s="55" t="s">
        <v>1</v>
      </c>
      <c r="B20" s="256">
        <v>0.326</v>
      </c>
      <c r="C20" s="22" t="s">
        <v>37</v>
      </c>
      <c r="D20" s="37"/>
      <c r="E20" s="331" t="s">
        <v>1</v>
      </c>
      <c r="F20" s="332">
        <f>Start!B19</f>
        <v>0.51695</v>
      </c>
      <c r="G20" s="330" t="s">
        <v>37</v>
      </c>
      <c r="H20" s="35"/>
      <c r="I20" s="55" t="s">
        <v>1</v>
      </c>
      <c r="J20" s="256">
        <v>0.525</v>
      </c>
      <c r="K20" s="22" t="s">
        <v>37</v>
      </c>
      <c r="L20" s="35"/>
      <c r="M20" s="37"/>
      <c r="N20" s="37"/>
      <c r="O20" s="37"/>
      <c r="P20" s="35"/>
      <c r="Q20" s="37"/>
      <c r="R20" s="37"/>
      <c r="S20" s="37"/>
    </row>
    <row r="21" spans="1:19" ht="12.75">
      <c r="A21" s="55" t="s">
        <v>2</v>
      </c>
      <c r="B21" s="256">
        <v>0.077</v>
      </c>
      <c r="C21" s="22" t="s">
        <v>37</v>
      </c>
      <c r="D21" s="37"/>
      <c r="E21" s="331" t="s">
        <v>2</v>
      </c>
      <c r="F21" s="332">
        <f>Start!B20</f>
        <v>0.05799</v>
      </c>
      <c r="G21" s="330" t="s">
        <v>37</v>
      </c>
      <c r="H21" s="37"/>
      <c r="I21" s="55" t="s">
        <v>2</v>
      </c>
      <c r="J21" s="256">
        <v>0.059</v>
      </c>
      <c r="K21" s="22" t="s">
        <v>37</v>
      </c>
      <c r="L21" s="37"/>
      <c r="M21" s="37"/>
      <c r="N21" s="37"/>
      <c r="O21" s="37"/>
      <c r="P21" s="37"/>
      <c r="Q21" s="37"/>
      <c r="R21" s="37"/>
      <c r="S21" s="37"/>
    </row>
    <row r="22" spans="1:19" ht="12.75">
      <c r="A22" s="55" t="s">
        <v>3</v>
      </c>
      <c r="B22" s="127">
        <v>0.0003</v>
      </c>
      <c r="C22" s="22" t="s">
        <v>37</v>
      </c>
      <c r="D22" s="37"/>
      <c r="E22" s="331" t="s">
        <v>3</v>
      </c>
      <c r="F22" s="333">
        <f>Start!B21</f>
        <v>0.00039892</v>
      </c>
      <c r="G22" s="330" t="s">
        <v>37</v>
      </c>
      <c r="H22" s="35"/>
      <c r="I22" s="55" t="s">
        <v>3</v>
      </c>
      <c r="J22" s="127">
        <v>0.0005</v>
      </c>
      <c r="K22" s="22" t="s">
        <v>37</v>
      </c>
      <c r="L22" s="35"/>
      <c r="M22" s="37"/>
      <c r="N22" s="37"/>
      <c r="O22" s="37"/>
      <c r="P22" s="35"/>
      <c r="Q22" s="37"/>
      <c r="R22" s="37"/>
      <c r="S22" s="37"/>
    </row>
    <row r="23" spans="1:19" ht="12.75">
      <c r="A23" s="55" t="s">
        <v>4</v>
      </c>
      <c r="B23" s="127">
        <v>0.0036</v>
      </c>
      <c r="C23" s="22" t="s">
        <v>37</v>
      </c>
      <c r="D23" s="37"/>
      <c r="E23" s="331" t="s">
        <v>4</v>
      </c>
      <c r="F23" s="333">
        <f>Start!B22</f>
        <v>0.0030163</v>
      </c>
      <c r="G23" s="330" t="s">
        <v>37</v>
      </c>
      <c r="H23" s="35"/>
      <c r="I23" s="55" t="s">
        <v>4</v>
      </c>
      <c r="J23" s="127">
        <v>0.0059</v>
      </c>
      <c r="K23" s="22" t="s">
        <v>37</v>
      </c>
      <c r="L23" s="35"/>
      <c r="M23" s="37"/>
      <c r="N23" s="37"/>
      <c r="O23" s="37"/>
      <c r="P23" s="35"/>
      <c r="Q23" s="37"/>
      <c r="R23" s="37"/>
      <c r="S23" s="37"/>
    </row>
    <row r="24" spans="1:19" ht="12.75">
      <c r="A24" s="55" t="s">
        <v>5</v>
      </c>
      <c r="B24" s="127">
        <v>9E-05</v>
      </c>
      <c r="C24" s="22" t="s">
        <v>37</v>
      </c>
      <c r="D24" s="37"/>
      <c r="E24" s="331" t="s">
        <v>5</v>
      </c>
      <c r="F24" s="333">
        <f>Start!B23</f>
        <v>0.0002</v>
      </c>
      <c r="G24" s="330" t="s">
        <v>37</v>
      </c>
      <c r="H24" s="35"/>
      <c r="I24" s="55" t="s">
        <v>5</v>
      </c>
      <c r="J24" s="127">
        <v>0.0001</v>
      </c>
      <c r="K24" s="22" t="s">
        <v>37</v>
      </c>
      <c r="L24" s="35"/>
      <c r="M24" s="37"/>
      <c r="N24" s="37"/>
      <c r="O24" s="37"/>
      <c r="P24" s="35"/>
      <c r="Q24" s="37"/>
      <c r="R24" s="37"/>
      <c r="S24" s="37"/>
    </row>
    <row r="25" spans="1:19" ht="12.75">
      <c r="A25" s="56" t="s">
        <v>20</v>
      </c>
      <c r="B25" s="257">
        <f>1-(SUM(B20:B24)+$B$11*(1-$B$10))</f>
        <v>0.466719</v>
      </c>
      <c r="C25" s="25" t="s">
        <v>37</v>
      </c>
      <c r="D25" s="37"/>
      <c r="E25" s="334" t="s">
        <v>20</v>
      </c>
      <c r="F25" s="335">
        <f>1-(SUM(F20:F24)+B11)</f>
        <v>0.29244478000000007</v>
      </c>
      <c r="G25" s="336" t="s">
        <v>37</v>
      </c>
      <c r="H25" s="35"/>
      <c r="I25" s="56" t="s">
        <v>20</v>
      </c>
      <c r="J25" s="257">
        <f>1-SUM(J20:J24)</f>
        <v>0.4095</v>
      </c>
      <c r="K25" s="25" t="s">
        <v>37</v>
      </c>
      <c r="L25" s="35"/>
      <c r="M25" s="37"/>
      <c r="N25" s="37"/>
      <c r="O25" s="37"/>
      <c r="P25" s="35"/>
      <c r="Q25" s="37"/>
      <c r="R25" s="37"/>
      <c r="S25" s="37"/>
    </row>
    <row r="26" spans="1:19" ht="12.75">
      <c r="A26" s="37"/>
      <c r="B26" s="61"/>
      <c r="C26" s="35"/>
      <c r="D26" s="37"/>
      <c r="E26" s="35"/>
      <c r="F26" s="35"/>
      <c r="G26" s="35"/>
      <c r="H26" s="35"/>
      <c r="I26" s="37"/>
      <c r="J26" s="61"/>
      <c r="K26" s="35"/>
      <c r="L26" s="35"/>
      <c r="M26" s="37"/>
      <c r="N26" s="37"/>
      <c r="O26" s="37"/>
      <c r="P26" s="35"/>
      <c r="Q26" s="37"/>
      <c r="R26" s="37"/>
      <c r="S26" s="37"/>
    </row>
    <row r="27" spans="1:19" ht="15">
      <c r="A27" s="3" t="s">
        <v>6</v>
      </c>
      <c r="B27" s="4"/>
      <c r="C27" s="5"/>
      <c r="D27" s="37"/>
      <c r="E27" s="3" t="s">
        <v>6</v>
      </c>
      <c r="F27" s="4"/>
      <c r="G27" s="5"/>
      <c r="H27" s="35"/>
      <c r="I27" s="3" t="s">
        <v>6</v>
      </c>
      <c r="J27" s="4"/>
      <c r="K27" s="5"/>
      <c r="L27" s="35"/>
      <c r="M27" s="37"/>
      <c r="N27" s="37"/>
      <c r="O27" s="37"/>
      <c r="P27" s="35"/>
      <c r="Q27" s="37"/>
      <c r="R27" s="37"/>
      <c r="S27" s="37"/>
    </row>
    <row r="28" spans="1:19" ht="12.75">
      <c r="A28" s="6"/>
      <c r="B28" s="7"/>
      <c r="C28" s="8"/>
      <c r="D28" s="37"/>
      <c r="E28" s="6"/>
      <c r="F28" s="7"/>
      <c r="G28" s="8"/>
      <c r="H28" s="35"/>
      <c r="I28" s="6"/>
      <c r="J28" s="7"/>
      <c r="K28" s="8"/>
      <c r="L28" s="35"/>
      <c r="M28" s="37"/>
      <c r="N28" s="37"/>
      <c r="O28" s="37"/>
      <c r="P28" s="35"/>
      <c r="Q28" s="37"/>
      <c r="R28" s="37"/>
      <c r="S28" s="37"/>
    </row>
    <row r="29" spans="1:19" ht="12.75">
      <c r="A29" s="9" t="s">
        <v>31</v>
      </c>
      <c r="B29" s="7"/>
      <c r="C29" s="8"/>
      <c r="D29" s="37"/>
      <c r="E29" s="9" t="s">
        <v>12</v>
      </c>
      <c r="F29" s="7"/>
      <c r="G29" s="8"/>
      <c r="H29" s="35"/>
      <c r="I29" s="9" t="s">
        <v>31</v>
      </c>
      <c r="J29" s="7"/>
      <c r="K29" s="8"/>
      <c r="L29" s="35"/>
      <c r="M29" s="37"/>
      <c r="N29" s="37"/>
      <c r="O29" s="37"/>
      <c r="P29" s="35"/>
      <c r="Q29" s="37"/>
      <c r="R29" s="37"/>
      <c r="S29" s="37"/>
    </row>
    <row r="30" spans="1:19" ht="12.75">
      <c r="A30" s="51" t="s">
        <v>1</v>
      </c>
      <c r="B30" s="255">
        <f>B20/(1-$B$10)</f>
        <v>0.33299284984678246</v>
      </c>
      <c r="C30" s="8" t="s">
        <v>37</v>
      </c>
      <c r="D30" s="37"/>
      <c r="E30" s="51" t="s">
        <v>1</v>
      </c>
      <c r="F30" s="255">
        <f>F20/(1-$B$11)</f>
        <v>0.5935132032146958</v>
      </c>
      <c r="G30" s="8" t="s">
        <v>37</v>
      </c>
      <c r="H30" s="35"/>
      <c r="I30" s="51" t="s">
        <v>1</v>
      </c>
      <c r="J30" s="255">
        <f>J20*(1-$B$11)</f>
        <v>0.45727500000000004</v>
      </c>
      <c r="K30" s="8" t="s">
        <v>37</v>
      </c>
      <c r="L30" s="35"/>
      <c r="M30" s="37"/>
      <c r="N30" s="37"/>
      <c r="O30" s="37"/>
      <c r="P30" s="35"/>
      <c r="Q30" s="37"/>
      <c r="R30" s="37"/>
      <c r="S30" s="37"/>
    </row>
    <row r="31" spans="1:19" ht="12.75">
      <c r="A31" s="51" t="s">
        <v>2</v>
      </c>
      <c r="B31" s="255">
        <f>(B21-$B$10*2*1.008/(2*1.008+16))/(1-$B$10)</f>
        <v>0.07625136752803546</v>
      </c>
      <c r="C31" s="8" t="s">
        <v>37</v>
      </c>
      <c r="D31" s="37"/>
      <c r="E31" s="51" t="s">
        <v>2</v>
      </c>
      <c r="F31" s="255">
        <f>F21/(1-$B$11)</f>
        <v>0.06657864523536165</v>
      </c>
      <c r="G31" s="8" t="s">
        <v>37</v>
      </c>
      <c r="H31" s="37"/>
      <c r="I31" s="51" t="s">
        <v>2</v>
      </c>
      <c r="J31" s="255">
        <f>J21*(1-$B$11)</f>
        <v>0.051389</v>
      </c>
      <c r="K31" s="8" t="s">
        <v>37</v>
      </c>
      <c r="L31" s="37"/>
      <c r="M31" s="37"/>
      <c r="N31" s="37"/>
      <c r="O31" s="37"/>
      <c r="P31" s="37"/>
      <c r="Q31" s="37"/>
      <c r="R31" s="37"/>
      <c r="S31" s="37"/>
    </row>
    <row r="32" spans="1:19" ht="12.75">
      <c r="A32" s="51" t="s">
        <v>3</v>
      </c>
      <c r="B32" s="52">
        <f>B22/(1-$B$10)</f>
        <v>0.00030643513789581204</v>
      </c>
      <c r="C32" s="8" t="s">
        <v>37</v>
      </c>
      <c r="D32" s="37"/>
      <c r="E32" s="51" t="s">
        <v>3</v>
      </c>
      <c r="F32" s="52">
        <f>F22/(1-$B$11)</f>
        <v>0.00045800229621125143</v>
      </c>
      <c r="G32" s="8" t="s">
        <v>37</v>
      </c>
      <c r="H32" s="37"/>
      <c r="I32" s="51" t="s">
        <v>3</v>
      </c>
      <c r="J32" s="52">
        <f>J22*(1-$B$11)</f>
        <v>0.0004355</v>
      </c>
      <c r="K32" s="8" t="s">
        <v>37</v>
      </c>
      <c r="L32" s="37"/>
      <c r="M32" s="37"/>
      <c r="N32" s="37"/>
      <c r="O32" s="37"/>
      <c r="P32" s="37"/>
      <c r="Q32" s="37"/>
      <c r="R32" s="37"/>
      <c r="S32" s="37"/>
    </row>
    <row r="33" spans="1:19" ht="12.75">
      <c r="A33" s="51" t="s">
        <v>4</v>
      </c>
      <c r="B33" s="52">
        <f>B23/(1-$B$10)</f>
        <v>0.0036772216547497445</v>
      </c>
      <c r="C33" s="8" t="s">
        <v>37</v>
      </c>
      <c r="D33" s="37"/>
      <c r="E33" s="51" t="s">
        <v>4</v>
      </c>
      <c r="F33" s="52">
        <f>F23/(1-$B$11)</f>
        <v>0.003463030998851894</v>
      </c>
      <c r="G33" s="8" t="s">
        <v>37</v>
      </c>
      <c r="H33" s="37"/>
      <c r="I33" s="51" t="s">
        <v>4</v>
      </c>
      <c r="J33" s="52">
        <f>J23*(1-$B$11)</f>
        <v>0.0051389</v>
      </c>
      <c r="K33" s="8" t="s">
        <v>37</v>
      </c>
      <c r="L33" s="37"/>
      <c r="M33" s="37"/>
      <c r="N33" s="37"/>
      <c r="O33" s="37"/>
      <c r="P33" s="37"/>
      <c r="Q33" s="37"/>
      <c r="R33" s="37"/>
      <c r="S33" s="37"/>
    </row>
    <row r="34" spans="1:19" ht="12.75">
      <c r="A34" s="51" t="s">
        <v>5</v>
      </c>
      <c r="B34" s="52">
        <f>B24/(1-$B$10)</f>
        <v>9.193054136874363E-05</v>
      </c>
      <c r="C34" s="8" t="s">
        <v>37</v>
      </c>
      <c r="D34" s="37"/>
      <c r="E34" s="51" t="s">
        <v>5</v>
      </c>
      <c r="F34" s="52">
        <f>F24/(1-$B$11)</f>
        <v>0.0002296211251435132</v>
      </c>
      <c r="G34" s="8" t="s">
        <v>37</v>
      </c>
      <c r="H34" s="35"/>
      <c r="I34" s="51" t="s">
        <v>5</v>
      </c>
      <c r="J34" s="52">
        <f>J24*(1-$B$11)</f>
        <v>8.71E-05</v>
      </c>
      <c r="K34" s="8" t="s">
        <v>37</v>
      </c>
      <c r="L34" s="35"/>
      <c r="M34" s="37"/>
      <c r="N34" s="37"/>
      <c r="O34" s="37"/>
      <c r="P34" s="35"/>
      <c r="Q34" s="37"/>
      <c r="R34" s="37"/>
      <c r="S34" s="37"/>
    </row>
    <row r="35" spans="1:19" ht="12.75">
      <c r="A35" s="10" t="s">
        <v>20</v>
      </c>
      <c r="B35" s="255">
        <f>1-(SUM(B30:B34)+$B$11)</f>
        <v>0.45768019529116777</v>
      </c>
      <c r="C35" s="8" t="s">
        <v>37</v>
      </c>
      <c r="D35" s="37"/>
      <c r="E35" s="10" t="s">
        <v>20</v>
      </c>
      <c r="F35" s="255">
        <f>1-SUM(F30:F34)</f>
        <v>0.3357574971297359</v>
      </c>
      <c r="G35" s="8" t="s">
        <v>37</v>
      </c>
      <c r="H35" s="35"/>
      <c r="I35" s="10" t="s">
        <v>20</v>
      </c>
      <c r="J35" s="255">
        <f>1-(SUM(J30:J34)+$B$11)</f>
        <v>0.3566745</v>
      </c>
      <c r="K35" s="8" t="s">
        <v>37</v>
      </c>
      <c r="L35" s="35"/>
      <c r="M35" s="37"/>
      <c r="N35" s="37"/>
      <c r="O35" s="37"/>
      <c r="P35" s="35"/>
      <c r="Q35" s="37"/>
      <c r="R35" s="37"/>
      <c r="S35" s="37"/>
    </row>
    <row r="36" spans="1:19" ht="12.75">
      <c r="A36" s="10" t="s">
        <v>8</v>
      </c>
      <c r="B36" s="255">
        <f>B11</f>
        <v>0.129</v>
      </c>
      <c r="C36" s="8" t="s">
        <v>37</v>
      </c>
      <c r="D36" s="37"/>
      <c r="E36" s="10" t="s">
        <v>8</v>
      </c>
      <c r="F36" s="337" t="s">
        <v>439</v>
      </c>
      <c r="G36" s="8" t="s">
        <v>37</v>
      </c>
      <c r="H36" s="35"/>
      <c r="I36" s="10" t="s">
        <v>8</v>
      </c>
      <c r="J36" s="338">
        <f>B11</f>
        <v>0.129</v>
      </c>
      <c r="K36" s="8" t="s">
        <v>37</v>
      </c>
      <c r="L36" s="35"/>
      <c r="M36" s="37"/>
      <c r="N36" s="37"/>
      <c r="O36" s="37"/>
      <c r="P36" s="35"/>
      <c r="Q36" s="37"/>
      <c r="R36" s="37"/>
      <c r="S36" s="37"/>
    </row>
    <row r="37" spans="1:19" ht="12.75">
      <c r="A37" s="9" t="s">
        <v>12</v>
      </c>
      <c r="B37" s="255"/>
      <c r="C37" s="8"/>
      <c r="D37" s="37"/>
      <c r="E37" s="9" t="s">
        <v>11</v>
      </c>
      <c r="F37" s="7"/>
      <c r="G37" s="8"/>
      <c r="H37" s="35"/>
      <c r="I37" s="9" t="s">
        <v>11</v>
      </c>
      <c r="J37" s="7"/>
      <c r="K37" s="8"/>
      <c r="L37" s="35"/>
      <c r="M37" s="37"/>
      <c r="N37" s="37"/>
      <c r="O37" s="37"/>
      <c r="P37" s="35"/>
      <c r="Q37" s="37"/>
      <c r="R37" s="37"/>
      <c r="S37" s="37"/>
    </row>
    <row r="38" spans="1:19" ht="12.75">
      <c r="A38" s="51" t="s">
        <v>1</v>
      </c>
      <c r="B38" s="255">
        <f>B20/(1-$B$10)/(1-$B$11)</f>
        <v>0.3823109642328157</v>
      </c>
      <c r="C38" s="8" t="s">
        <v>37</v>
      </c>
      <c r="D38" s="37"/>
      <c r="E38" s="51" t="s">
        <v>1</v>
      </c>
      <c r="F38" s="255">
        <f>F20*(1-$B$10)</f>
        <v>0.50609405</v>
      </c>
      <c r="G38" s="8" t="s">
        <v>37</v>
      </c>
      <c r="H38" s="35"/>
      <c r="I38" s="51" t="s">
        <v>1</v>
      </c>
      <c r="J38" s="255">
        <f>J20*(1-$B$11)*(1-$B$10)</f>
        <v>0.44767222500000003</v>
      </c>
      <c r="K38" s="8" t="s">
        <v>37</v>
      </c>
      <c r="L38" s="35"/>
      <c r="M38" s="37"/>
      <c r="N38" s="37"/>
      <c r="O38" s="37"/>
      <c r="P38" s="35"/>
      <c r="Q38" s="37"/>
      <c r="R38" s="37"/>
      <c r="S38" s="37"/>
    </row>
    <row r="39" spans="1:19" ht="12.75">
      <c r="A39" s="51" t="s">
        <v>2</v>
      </c>
      <c r="B39" s="255">
        <f>(B21-$B$10*2*1.008/(2*1.008+16))/(1-$B$10)/(1-$B$11)</f>
        <v>0.08754462402759525</v>
      </c>
      <c r="C39" s="8" t="s">
        <v>37</v>
      </c>
      <c r="D39" s="37"/>
      <c r="E39" s="51" t="s">
        <v>2</v>
      </c>
      <c r="F39" s="255">
        <f>F21*(1-$B$10)+$B$10*2*1.008/(2*1.008+16)</f>
        <v>0.059122121190053285</v>
      </c>
      <c r="G39" s="8" t="s">
        <v>37</v>
      </c>
      <c r="H39" s="35"/>
      <c r="I39" s="51" t="s">
        <v>2</v>
      </c>
      <c r="J39" s="255">
        <f>J21*(1-$B$10)+$B$10*2*1.008/(2*1.008+16)</f>
        <v>0.06011091119005328</v>
      </c>
      <c r="K39" s="8" t="s">
        <v>37</v>
      </c>
      <c r="L39" s="35"/>
      <c r="M39" s="37"/>
      <c r="N39" s="37"/>
      <c r="O39" s="37"/>
      <c r="P39" s="35"/>
      <c r="Q39" s="37"/>
      <c r="R39" s="37"/>
      <c r="S39" s="37"/>
    </row>
    <row r="40" spans="1:19" ht="12.75">
      <c r="A40" s="51" t="s">
        <v>3</v>
      </c>
      <c r="B40" s="52">
        <f>B22/(1-$B$10)/(1-$B$11)</f>
        <v>0.0003518199057357199</v>
      </c>
      <c r="C40" s="8" t="s">
        <v>37</v>
      </c>
      <c r="D40" s="37"/>
      <c r="E40" s="51" t="s">
        <v>3</v>
      </c>
      <c r="F40" s="52">
        <f>F22*(1-$B$10)</f>
        <v>0.00039054267999999996</v>
      </c>
      <c r="G40" s="8" t="s">
        <v>37</v>
      </c>
      <c r="H40" s="37"/>
      <c r="I40" s="51" t="s">
        <v>3</v>
      </c>
      <c r="J40" s="52">
        <f>J22*(1-$B$11)*(1-$B$10)</f>
        <v>0.0004263545</v>
      </c>
      <c r="K40" s="8" t="s">
        <v>37</v>
      </c>
      <c r="L40" s="37"/>
      <c r="M40" s="37"/>
      <c r="N40" s="37"/>
      <c r="O40" s="37"/>
      <c r="P40" s="37"/>
      <c r="Q40" s="37"/>
      <c r="R40" s="37"/>
      <c r="S40" s="37"/>
    </row>
    <row r="41" spans="1:19" ht="12.75">
      <c r="A41" s="51" t="s">
        <v>4</v>
      </c>
      <c r="B41" s="52">
        <f>B23/(1-$B$10)/(1-$B$11)</f>
        <v>0.004221838868828639</v>
      </c>
      <c r="C41" s="8" t="s">
        <v>37</v>
      </c>
      <c r="D41" s="37"/>
      <c r="E41" s="51" t="s">
        <v>4</v>
      </c>
      <c r="F41" s="52">
        <f>F23*(1-$B$10)</f>
        <v>0.0029529576999999998</v>
      </c>
      <c r="G41" s="8" t="s">
        <v>37</v>
      </c>
      <c r="H41" s="37"/>
      <c r="I41" s="51" t="s">
        <v>4</v>
      </c>
      <c r="J41" s="52">
        <f>J23*(1-$B$11)*(1-$B$10)</f>
        <v>0.0050309831</v>
      </c>
      <c r="K41" s="8" t="s">
        <v>37</v>
      </c>
      <c r="L41" s="37"/>
      <c r="M41" s="37"/>
      <c r="N41" s="37"/>
      <c r="O41" s="37"/>
      <c r="P41" s="37"/>
      <c r="Q41" s="37"/>
      <c r="R41" s="37"/>
      <c r="S41" s="37"/>
    </row>
    <row r="42" spans="1:19" ht="12.75">
      <c r="A42" s="51" t="s">
        <v>5</v>
      </c>
      <c r="B42" s="52">
        <f>B24/(1-$B$10)/(1-$B$11)</f>
        <v>0.00010554597172071598</v>
      </c>
      <c r="C42" s="8" t="s">
        <v>37</v>
      </c>
      <c r="D42" s="37"/>
      <c r="E42" s="51" t="s">
        <v>5</v>
      </c>
      <c r="F42" s="52">
        <f>F24*(1-$B$10)</f>
        <v>0.00019580000000000002</v>
      </c>
      <c r="G42" s="8" t="s">
        <v>37</v>
      </c>
      <c r="H42" s="37"/>
      <c r="I42" s="51" t="s">
        <v>5</v>
      </c>
      <c r="J42" s="52">
        <f>J24*(1-$B$11)*(1-$B$10)</f>
        <v>8.52709E-05</v>
      </c>
      <c r="K42" s="8" t="s">
        <v>37</v>
      </c>
      <c r="L42" s="37"/>
      <c r="M42" s="37"/>
      <c r="N42" s="37"/>
      <c r="O42" s="37"/>
      <c r="P42" s="37"/>
      <c r="Q42" s="37"/>
      <c r="R42" s="37"/>
      <c r="S42" s="37"/>
    </row>
    <row r="43" spans="1:19" ht="12.75">
      <c r="A43" s="10" t="s">
        <v>20</v>
      </c>
      <c r="B43" s="255">
        <f>1-SUM(B38:B42)</f>
        <v>0.5254652069933039</v>
      </c>
      <c r="C43" s="8" t="s">
        <v>37</v>
      </c>
      <c r="D43" s="37"/>
      <c r="E43" s="10" t="s">
        <v>20</v>
      </c>
      <c r="F43" s="255">
        <f>1-(SUM(F38:F42)+$B$11*(1-$B$10))</f>
        <v>0.3049535284299466</v>
      </c>
      <c r="G43" s="8" t="s">
        <v>37</v>
      </c>
      <c r="H43" s="37"/>
      <c r="I43" s="10" t="s">
        <v>20</v>
      </c>
      <c r="J43" s="255">
        <f>1-(SUM(J38:J42)+$B$11*(1-$B$10))</f>
        <v>0.36038325530994664</v>
      </c>
      <c r="K43" s="8" t="s">
        <v>37</v>
      </c>
      <c r="L43" s="37"/>
      <c r="M43" s="37"/>
      <c r="N43" s="37"/>
      <c r="O43" s="37"/>
      <c r="P43" s="37"/>
      <c r="Q43" s="37"/>
      <c r="R43" s="37"/>
      <c r="S43" s="37"/>
    </row>
    <row r="44" spans="1:19" ht="12.75">
      <c r="A44" s="12" t="s">
        <v>8</v>
      </c>
      <c r="B44" s="339" t="s">
        <v>439</v>
      </c>
      <c r="C44" s="13" t="s">
        <v>37</v>
      </c>
      <c r="D44" s="37"/>
      <c r="E44" s="12" t="s">
        <v>8</v>
      </c>
      <c r="F44" s="101">
        <f>$B$11*(1-$B$10)</f>
        <v>0.12629100000000001</v>
      </c>
      <c r="G44" s="13" t="s">
        <v>37</v>
      </c>
      <c r="H44" s="37"/>
      <c r="I44" s="12" t="s">
        <v>8</v>
      </c>
      <c r="J44" s="101">
        <f>$B$11*(1-$B$10)</f>
        <v>0.12629100000000001</v>
      </c>
      <c r="K44" s="13" t="s">
        <v>37</v>
      </c>
      <c r="L44" s="37"/>
      <c r="M44" s="37"/>
      <c r="N44" s="37"/>
      <c r="O44" s="37"/>
      <c r="P44" s="37"/>
      <c r="Q44" s="37"/>
      <c r="R44" s="37"/>
      <c r="S44" s="37"/>
    </row>
    <row r="45" spans="1:19" ht="12.75">
      <c r="A45" s="37"/>
      <c r="B45" s="37"/>
      <c r="C45" s="37"/>
      <c r="D45" s="37"/>
      <c r="E45" s="37"/>
      <c r="F45" s="37"/>
      <c r="G45" s="37"/>
      <c r="H45" s="37"/>
      <c r="I45" s="37"/>
      <c r="J45" s="37"/>
      <c r="K45" s="37"/>
      <c r="L45" s="37"/>
      <c r="M45" s="37"/>
      <c r="N45" s="37"/>
      <c r="O45" s="37"/>
      <c r="P45" s="37"/>
      <c r="Q45" s="37"/>
      <c r="R45" s="37"/>
      <c r="S45" s="37"/>
    </row>
    <row r="46" spans="1:19" ht="12.75">
      <c r="A46" s="37"/>
      <c r="B46" s="37"/>
      <c r="C46" s="37"/>
      <c r="D46" s="37"/>
      <c r="E46" s="37"/>
      <c r="F46" s="37"/>
      <c r="G46" s="37"/>
      <c r="H46" s="37"/>
      <c r="I46" s="37"/>
      <c r="J46" s="37"/>
      <c r="K46" s="37"/>
      <c r="L46" s="37"/>
      <c r="M46" s="37"/>
      <c r="N46" s="37"/>
      <c r="O46" s="37"/>
      <c r="P46" s="37"/>
      <c r="Q46" s="37"/>
      <c r="R46" s="37"/>
      <c r="S46" s="37"/>
    </row>
    <row r="47" spans="1:19" ht="12.75">
      <c r="A47" s="37"/>
      <c r="B47" s="37"/>
      <c r="C47" s="37"/>
      <c r="D47" s="37"/>
      <c r="E47" s="37"/>
      <c r="F47" s="37"/>
      <c r="G47" s="37"/>
      <c r="H47" s="37"/>
      <c r="I47" s="37"/>
      <c r="J47" s="37"/>
      <c r="K47" s="37"/>
      <c r="L47" s="37"/>
      <c r="M47" s="37"/>
      <c r="N47" s="37"/>
      <c r="O47" s="37"/>
      <c r="P47" s="37"/>
      <c r="Q47" s="37"/>
      <c r="R47" s="37"/>
      <c r="S47" s="37"/>
    </row>
    <row r="48" spans="1:19" ht="12.75">
      <c r="A48" s="37"/>
      <c r="B48" s="37"/>
      <c r="C48" s="37"/>
      <c r="D48" s="37"/>
      <c r="E48" s="37"/>
      <c r="F48" s="37"/>
      <c r="G48" s="37"/>
      <c r="H48" s="37"/>
      <c r="I48" s="37"/>
      <c r="J48" s="37"/>
      <c r="K48" s="37"/>
      <c r="L48" s="37"/>
      <c r="M48" s="37"/>
      <c r="N48" s="37"/>
      <c r="O48" s="37"/>
      <c r="P48" s="37"/>
      <c r="Q48" s="37"/>
      <c r="R48" s="37"/>
      <c r="S48" s="37"/>
    </row>
    <row r="49" spans="1:19" ht="12.75">
      <c r="A49" s="37"/>
      <c r="B49" s="37"/>
      <c r="C49" s="37"/>
      <c r="D49" s="37"/>
      <c r="E49" s="37"/>
      <c r="F49" s="37"/>
      <c r="G49" s="37"/>
      <c r="H49" s="37"/>
      <c r="I49" s="37"/>
      <c r="J49" s="37"/>
      <c r="K49" s="37"/>
      <c r="L49" s="37"/>
      <c r="M49" s="37"/>
      <c r="N49" s="37"/>
      <c r="O49" s="37"/>
      <c r="P49" s="37"/>
      <c r="Q49" s="37"/>
      <c r="R49" s="37"/>
      <c r="S49" s="37"/>
    </row>
    <row r="50" spans="1:19" ht="12.75">
      <c r="A50" s="37"/>
      <c r="B50" s="37"/>
      <c r="C50" s="37"/>
      <c r="D50" s="37"/>
      <c r="E50" s="37"/>
      <c r="F50" s="37"/>
      <c r="G50" s="37"/>
      <c r="H50" s="37"/>
      <c r="I50" s="37"/>
      <c r="J50" s="37"/>
      <c r="K50" s="37"/>
      <c r="L50" s="37"/>
      <c r="M50" s="37"/>
      <c r="N50" s="37"/>
      <c r="O50" s="37"/>
      <c r="P50" s="37"/>
      <c r="Q50" s="37"/>
      <c r="R50" s="37"/>
      <c r="S50" s="37"/>
    </row>
    <row r="51" spans="1:19" ht="12.75">
      <c r="A51" s="37"/>
      <c r="B51" s="37"/>
      <c r="C51" s="37"/>
      <c r="D51" s="37"/>
      <c r="E51" s="37"/>
      <c r="F51" s="37"/>
      <c r="G51" s="37"/>
      <c r="H51" s="37"/>
      <c r="I51" s="37"/>
      <c r="J51" s="37"/>
      <c r="K51" s="37"/>
      <c r="L51" s="37"/>
      <c r="M51" s="37"/>
      <c r="N51" s="37"/>
      <c r="O51" s="37"/>
      <c r="P51" s="37"/>
      <c r="Q51" s="37"/>
      <c r="R51" s="37"/>
      <c r="S51" s="37"/>
    </row>
    <row r="52" spans="1:19" ht="12.75">
      <c r="A52" s="37"/>
      <c r="B52" s="37"/>
      <c r="C52" s="37"/>
      <c r="D52" s="37"/>
      <c r="E52" s="37"/>
      <c r="F52" s="37"/>
      <c r="G52" s="37"/>
      <c r="H52" s="37"/>
      <c r="I52" s="37"/>
      <c r="J52" s="37"/>
      <c r="K52" s="37"/>
      <c r="L52" s="37"/>
      <c r="M52" s="37"/>
      <c r="N52" s="37"/>
      <c r="O52" s="37"/>
      <c r="P52" s="37"/>
      <c r="Q52" s="37"/>
      <c r="R52" s="37"/>
      <c r="S52" s="37"/>
    </row>
    <row r="53" spans="1:19" ht="12.75">
      <c r="A53" s="37"/>
      <c r="B53" s="37"/>
      <c r="C53" s="37"/>
      <c r="D53" s="37"/>
      <c r="E53" s="37"/>
      <c r="F53" s="37"/>
      <c r="G53" s="37"/>
      <c r="H53" s="37"/>
      <c r="I53" s="37"/>
      <c r="J53" s="37"/>
      <c r="K53" s="37"/>
      <c r="L53" s="37"/>
      <c r="M53" s="37"/>
      <c r="N53" s="37"/>
      <c r="O53" s="37"/>
      <c r="P53" s="37"/>
      <c r="Q53" s="37"/>
      <c r="R53" s="37"/>
      <c r="S53" s="37"/>
    </row>
    <row r="54" spans="1:19" ht="12.75">
      <c r="A54" s="37"/>
      <c r="B54" s="37"/>
      <c r="C54" s="37"/>
      <c r="D54" s="37"/>
      <c r="E54" s="37"/>
      <c r="F54" s="37"/>
      <c r="G54" s="37"/>
      <c r="H54" s="37"/>
      <c r="I54" s="37"/>
      <c r="J54" s="37"/>
      <c r="K54" s="37"/>
      <c r="L54" s="37"/>
      <c r="M54" s="37"/>
      <c r="N54" s="37"/>
      <c r="O54" s="37"/>
      <c r="P54" s="37"/>
      <c r="Q54" s="37"/>
      <c r="R54" s="37"/>
      <c r="S54" s="37"/>
    </row>
    <row r="55" spans="1:19" ht="12.75">
      <c r="A55" s="37"/>
      <c r="B55" s="37"/>
      <c r="C55" s="37"/>
      <c r="D55" s="37"/>
      <c r="E55" s="37"/>
      <c r="F55" s="37"/>
      <c r="G55" s="37"/>
      <c r="H55" s="37"/>
      <c r="I55" s="37"/>
      <c r="J55" s="37"/>
      <c r="K55" s="37"/>
      <c r="L55" s="37"/>
      <c r="M55" s="37"/>
      <c r="N55" s="37"/>
      <c r="O55" s="37"/>
      <c r="P55" s="37"/>
      <c r="Q55" s="37"/>
      <c r="R55" s="37"/>
      <c r="S55" s="37"/>
    </row>
    <row r="56" spans="1:19" ht="12.75">
      <c r="A56" s="37"/>
      <c r="B56" s="37"/>
      <c r="C56" s="37"/>
      <c r="D56" s="37"/>
      <c r="E56" s="37"/>
      <c r="F56" s="37"/>
      <c r="G56" s="37"/>
      <c r="H56" s="37"/>
      <c r="I56" s="37"/>
      <c r="J56" s="37"/>
      <c r="K56" s="37"/>
      <c r="L56" s="37"/>
      <c r="M56" s="37"/>
      <c r="N56" s="37"/>
      <c r="O56" s="37"/>
      <c r="P56" s="37"/>
      <c r="Q56" s="37"/>
      <c r="R56" s="37"/>
      <c r="S56" s="37"/>
    </row>
    <row r="57" spans="1:19" ht="12.75">
      <c r="A57" s="37"/>
      <c r="B57" s="37"/>
      <c r="C57" s="37"/>
      <c r="D57" s="37"/>
      <c r="E57" s="37"/>
      <c r="F57" s="37"/>
      <c r="G57" s="37"/>
      <c r="H57" s="37"/>
      <c r="I57" s="37"/>
      <c r="J57" s="37"/>
      <c r="K57" s="37"/>
      <c r="L57" s="37"/>
      <c r="M57" s="37"/>
      <c r="N57" s="37"/>
      <c r="O57" s="37"/>
      <c r="P57" s="37"/>
      <c r="Q57" s="37"/>
      <c r="R57" s="37"/>
      <c r="S57" s="37"/>
    </row>
    <row r="58" spans="1:19" ht="12.75">
      <c r="A58" s="37"/>
      <c r="B58" s="37"/>
      <c r="C58" s="37"/>
      <c r="D58" s="37"/>
      <c r="E58" s="37"/>
      <c r="F58" s="37"/>
      <c r="G58" s="37"/>
      <c r="H58" s="37"/>
      <c r="I58" s="37"/>
      <c r="J58" s="37"/>
      <c r="K58" s="37"/>
      <c r="L58" s="37"/>
      <c r="M58" s="37"/>
      <c r="N58" s="37"/>
      <c r="O58" s="37"/>
      <c r="P58" s="37"/>
      <c r="Q58" s="37"/>
      <c r="R58" s="37"/>
      <c r="S58" s="37"/>
    </row>
    <row r="59" spans="1:19" ht="12.75">
      <c r="A59" s="37"/>
      <c r="B59" s="37"/>
      <c r="C59" s="37"/>
      <c r="D59" s="37"/>
      <c r="E59" s="37"/>
      <c r="F59" s="37"/>
      <c r="G59" s="37"/>
      <c r="H59" s="37"/>
      <c r="I59" s="37"/>
      <c r="J59" s="37"/>
      <c r="K59" s="37"/>
      <c r="L59" s="37"/>
      <c r="M59" s="37"/>
      <c r="N59" s="37"/>
      <c r="O59" s="37"/>
      <c r="P59" s="37"/>
      <c r="Q59" s="37"/>
      <c r="R59" s="37"/>
      <c r="S59" s="37"/>
    </row>
    <row r="60" spans="1:19" ht="12.75">
      <c r="A60" s="37"/>
      <c r="B60" s="37"/>
      <c r="C60" s="37"/>
      <c r="D60" s="37"/>
      <c r="E60" s="37"/>
      <c r="F60" s="37"/>
      <c r="G60" s="37"/>
      <c r="H60" s="37"/>
      <c r="I60" s="37"/>
      <c r="J60" s="37"/>
      <c r="K60" s="37"/>
      <c r="L60" s="37"/>
      <c r="M60" s="37"/>
      <c r="N60" s="37"/>
      <c r="O60" s="37"/>
      <c r="P60" s="37"/>
      <c r="Q60" s="37"/>
      <c r="R60" s="37"/>
      <c r="S60" s="37"/>
    </row>
    <row r="61" spans="1:19" ht="12.75">
      <c r="A61" s="37"/>
      <c r="B61" s="37"/>
      <c r="C61" s="37"/>
      <c r="D61" s="37"/>
      <c r="E61" s="37"/>
      <c r="F61" s="37"/>
      <c r="G61" s="37"/>
      <c r="H61" s="37"/>
      <c r="I61" s="37"/>
      <c r="J61" s="37"/>
      <c r="K61" s="37"/>
      <c r="L61" s="37"/>
      <c r="M61" s="37"/>
      <c r="N61" s="37"/>
      <c r="O61" s="37"/>
      <c r="P61" s="37"/>
      <c r="Q61" s="37"/>
      <c r="R61" s="37"/>
      <c r="S61" s="37"/>
    </row>
    <row r="62" spans="1:19" ht="12.75">
      <c r="A62" s="37"/>
      <c r="B62" s="37"/>
      <c r="C62" s="37"/>
      <c r="D62" s="37"/>
      <c r="E62" s="37"/>
      <c r="F62" s="37"/>
      <c r="G62" s="37"/>
      <c r="H62" s="37"/>
      <c r="I62" s="37"/>
      <c r="J62" s="37"/>
      <c r="K62" s="37"/>
      <c r="L62" s="37"/>
      <c r="M62" s="37"/>
      <c r="N62" s="37"/>
      <c r="O62" s="37"/>
      <c r="P62" s="37"/>
      <c r="Q62" s="37"/>
      <c r="R62" s="37"/>
      <c r="S62" s="37"/>
    </row>
    <row r="63" spans="1:19" ht="12.75">
      <c r="A63" s="37"/>
      <c r="B63" s="37"/>
      <c r="C63" s="37"/>
      <c r="D63" s="37"/>
      <c r="E63" s="37"/>
      <c r="F63" s="37"/>
      <c r="G63" s="37"/>
      <c r="H63" s="37"/>
      <c r="I63" s="37"/>
      <c r="J63" s="37"/>
      <c r="K63" s="37"/>
      <c r="L63" s="37"/>
      <c r="M63" s="37"/>
      <c r="N63" s="37"/>
      <c r="O63" s="37"/>
      <c r="P63" s="37"/>
      <c r="Q63" s="37"/>
      <c r="R63" s="37"/>
      <c r="S63" s="37"/>
    </row>
    <row r="64" spans="1:19" ht="12.75">
      <c r="A64" s="37"/>
      <c r="B64" s="37"/>
      <c r="C64" s="37"/>
      <c r="D64" s="37"/>
      <c r="E64" s="37"/>
      <c r="F64" s="37"/>
      <c r="G64" s="37"/>
      <c r="H64" s="37"/>
      <c r="I64" s="37"/>
      <c r="J64" s="37"/>
      <c r="K64" s="37"/>
      <c r="L64" s="37"/>
      <c r="M64" s="37"/>
      <c r="N64" s="37"/>
      <c r="O64" s="37"/>
      <c r="P64" s="37"/>
      <c r="Q64" s="37"/>
      <c r="R64" s="37"/>
      <c r="S64" s="37"/>
    </row>
    <row r="65" spans="1:19" ht="12.75">
      <c r="A65" s="37"/>
      <c r="B65" s="37"/>
      <c r="C65" s="37"/>
      <c r="D65" s="37"/>
      <c r="E65" s="37"/>
      <c r="F65" s="37"/>
      <c r="G65" s="37"/>
      <c r="H65" s="37"/>
      <c r="I65" s="37"/>
      <c r="J65" s="37"/>
      <c r="K65" s="37"/>
      <c r="L65" s="37"/>
      <c r="M65" s="37"/>
      <c r="N65" s="37"/>
      <c r="O65" s="37"/>
      <c r="P65" s="37"/>
      <c r="Q65" s="37"/>
      <c r="R65" s="37"/>
      <c r="S65" s="37"/>
    </row>
    <row r="66" spans="1:19" ht="12.75">
      <c r="A66" s="37"/>
      <c r="B66" s="37"/>
      <c r="C66" s="37"/>
      <c r="D66" s="37"/>
      <c r="E66" s="37"/>
      <c r="F66" s="37"/>
      <c r="G66" s="37"/>
      <c r="H66" s="37"/>
      <c r="I66" s="37"/>
      <c r="J66" s="37"/>
      <c r="K66" s="37"/>
      <c r="L66" s="37"/>
      <c r="M66" s="37"/>
      <c r="N66" s="37"/>
      <c r="O66" s="37"/>
      <c r="P66" s="37"/>
      <c r="Q66" s="37"/>
      <c r="R66" s="37"/>
      <c r="S66" s="37"/>
    </row>
    <row r="67" spans="1:19" ht="12.75">
      <c r="A67" s="37"/>
      <c r="B67" s="37"/>
      <c r="C67" s="37"/>
      <c r="D67" s="37"/>
      <c r="E67" s="37"/>
      <c r="F67" s="37"/>
      <c r="G67" s="37"/>
      <c r="H67" s="37"/>
      <c r="I67" s="37"/>
      <c r="J67" s="37"/>
      <c r="K67" s="37"/>
      <c r="L67" s="37"/>
      <c r="M67" s="37"/>
      <c r="N67" s="37"/>
      <c r="O67" s="37"/>
      <c r="P67" s="37"/>
      <c r="Q67" s="37"/>
      <c r="R67" s="37"/>
      <c r="S67" s="37"/>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Blad2"/>
  <dimension ref="A1:AJ207"/>
  <sheetViews>
    <sheetView zoomScalePageLayoutView="0" workbookViewId="0" topLeftCell="A168">
      <selection activeCell="U88" sqref="U88"/>
    </sheetView>
  </sheetViews>
  <sheetFormatPr defaultColWidth="9.140625" defaultRowHeight="12.75"/>
  <cols>
    <col min="1" max="1" width="18.00390625" style="0" customWidth="1"/>
    <col min="2" max="2" width="10.421875" style="0" customWidth="1"/>
    <col min="3" max="3" width="3.140625" style="70" customWidth="1"/>
    <col min="4" max="4" width="18.00390625" style="0" customWidth="1"/>
    <col min="5" max="5" width="9.28125" style="0" customWidth="1"/>
    <col min="6" max="6" width="2.421875" style="70" customWidth="1"/>
    <col min="7" max="7" width="15.421875" style="0" customWidth="1"/>
    <col min="8" max="8" width="10.28125" style="0" customWidth="1"/>
    <col min="9" max="9" width="2.00390625" style="70" customWidth="1"/>
    <col min="10" max="10" width="16.7109375" style="0" customWidth="1"/>
    <col min="11" max="11" width="11.140625" style="0" customWidth="1"/>
    <col min="12" max="12" width="2.140625" style="70" customWidth="1"/>
    <col min="13" max="13" width="16.421875" style="0" customWidth="1"/>
    <col min="14" max="14" width="9.7109375" style="0" customWidth="1"/>
    <col min="15" max="15" width="2.28125" style="70" customWidth="1"/>
    <col min="16" max="16" width="9.00390625" style="0" customWidth="1"/>
    <col min="17" max="17" width="12.57421875" style="0" customWidth="1"/>
    <col min="18" max="19" width="9.140625" style="37" customWidth="1"/>
    <col min="20" max="20" width="9.140625" style="37" hidden="1" customWidth="1"/>
    <col min="21" max="21" width="12.421875" style="37" customWidth="1"/>
    <col min="22" max="27" width="9.140625" style="37" customWidth="1"/>
  </cols>
  <sheetData>
    <row r="1" spans="1:15" s="37" customFormat="1" ht="21.75">
      <c r="A1" s="50" t="s">
        <v>46</v>
      </c>
      <c r="C1" s="70"/>
      <c r="F1" s="70"/>
      <c r="I1" s="70"/>
      <c r="L1" s="70"/>
      <c r="O1" s="70"/>
    </row>
    <row r="2" spans="3:15" s="37" customFormat="1" ht="12.75">
      <c r="C2" s="70"/>
      <c r="F2" s="70"/>
      <c r="I2" s="70"/>
      <c r="L2" s="70"/>
      <c r="O2" s="70"/>
    </row>
    <row r="3" spans="1:15" s="37" customFormat="1" ht="15.75">
      <c r="A3" s="77" t="s">
        <v>149</v>
      </c>
      <c r="C3" s="70"/>
      <c r="F3" s="70"/>
      <c r="I3" s="70"/>
      <c r="L3" s="70"/>
      <c r="O3" s="70"/>
    </row>
    <row r="4" spans="1:15" s="37" customFormat="1" ht="15.75">
      <c r="A4" s="77"/>
      <c r="C4" s="70"/>
      <c r="F4" s="70"/>
      <c r="I4" s="70"/>
      <c r="L4" s="70"/>
      <c r="O4" s="70"/>
    </row>
    <row r="5" spans="1:15" s="37" customFormat="1" ht="15.75">
      <c r="A5" s="128" t="s">
        <v>150</v>
      </c>
      <c r="C5" s="70"/>
      <c r="F5" s="70"/>
      <c r="I5" s="70"/>
      <c r="L5" s="70"/>
      <c r="O5" s="70"/>
    </row>
    <row r="6" spans="3:15" s="37" customFormat="1" ht="12.75">
      <c r="C6" s="70"/>
      <c r="F6" s="70"/>
      <c r="I6" s="70"/>
      <c r="L6" s="70"/>
      <c r="O6" s="70"/>
    </row>
    <row r="7" spans="1:15" s="37" customFormat="1" ht="12.75">
      <c r="A7" s="125" t="s">
        <v>172</v>
      </c>
      <c r="C7" s="70"/>
      <c r="F7" s="70"/>
      <c r="I7" s="70"/>
      <c r="L7" s="70"/>
      <c r="O7" s="70"/>
    </row>
    <row r="8" spans="1:15" s="37" customFormat="1" ht="15.75">
      <c r="A8" s="71"/>
      <c r="C8" s="70"/>
      <c r="F8" s="70"/>
      <c r="I8" s="70"/>
      <c r="L8" s="70"/>
      <c r="O8" s="70"/>
    </row>
    <row r="9" spans="1:15" s="40" customFormat="1" ht="15.75">
      <c r="A9" s="77" t="s">
        <v>275</v>
      </c>
      <c r="C9" s="49"/>
      <c r="F9" s="49"/>
      <c r="I9" s="49"/>
      <c r="L9" s="49"/>
      <c r="O9" s="49"/>
    </row>
    <row r="10" spans="3:15" s="40" customFormat="1" ht="15.75">
      <c r="C10" s="49"/>
      <c r="F10" s="49"/>
      <c r="G10" s="37"/>
      <c r="H10" s="36"/>
      <c r="I10" s="123"/>
      <c r="L10" s="49"/>
      <c r="O10" s="49"/>
    </row>
    <row r="11" spans="1:15" s="40" customFormat="1" ht="15.75">
      <c r="A11" s="194" t="s">
        <v>152</v>
      </c>
      <c r="B11" s="195"/>
      <c r="C11" s="206"/>
      <c r="D11" s="207"/>
      <c r="F11" s="49"/>
      <c r="G11" s="37"/>
      <c r="H11" s="36"/>
      <c r="I11" s="123"/>
      <c r="L11" s="49"/>
      <c r="O11" s="49"/>
    </row>
    <row r="12" spans="1:15" s="40" customFormat="1" ht="15.75">
      <c r="A12" s="208" t="s">
        <v>122</v>
      </c>
      <c r="B12" s="202">
        <f>Start!B10</f>
        <v>0.129</v>
      </c>
      <c r="C12" s="203" t="s">
        <v>123</v>
      </c>
      <c r="D12" s="209"/>
      <c r="F12" s="49"/>
      <c r="G12" s="37"/>
      <c r="H12" s="36"/>
      <c r="I12" s="123"/>
      <c r="L12" s="49"/>
      <c r="O12" s="49"/>
    </row>
    <row r="13" spans="6:15" s="40" customFormat="1" ht="15.75">
      <c r="F13" s="49"/>
      <c r="G13" s="37"/>
      <c r="H13" s="36"/>
      <c r="I13" s="123"/>
      <c r="L13" s="49"/>
      <c r="O13" s="49"/>
    </row>
    <row r="14" spans="1:15" s="40" customFormat="1" ht="15.75">
      <c r="A14" s="40" t="s">
        <v>151</v>
      </c>
      <c r="F14" s="49"/>
      <c r="G14" s="37"/>
      <c r="H14" s="36"/>
      <c r="I14" s="123"/>
      <c r="L14" s="49"/>
      <c r="O14" s="49"/>
    </row>
    <row r="15" spans="3:15" s="40" customFormat="1" ht="15.75">
      <c r="C15" s="49"/>
      <c r="F15" s="49"/>
      <c r="I15" s="49"/>
      <c r="L15" s="49"/>
      <c r="O15" s="49"/>
    </row>
    <row r="16" spans="1:15" s="37" customFormat="1" ht="20.25" customHeight="1">
      <c r="A16" s="49" t="s">
        <v>186</v>
      </c>
      <c r="C16" s="70"/>
      <c r="F16" s="70"/>
      <c r="I16" s="70"/>
      <c r="L16" s="70"/>
      <c r="O16" s="70"/>
    </row>
    <row r="17" spans="1:15" s="37" customFormat="1" ht="16.5" thickBot="1">
      <c r="A17" s="49"/>
      <c r="C17" s="70"/>
      <c r="F17" s="70"/>
      <c r="I17" s="70"/>
      <c r="L17" s="70"/>
      <c r="O17" s="70"/>
    </row>
    <row r="18" spans="1:31" ht="15">
      <c r="A18" s="14" t="s">
        <v>13</v>
      </c>
      <c r="B18" s="16"/>
      <c r="D18" s="63" t="s">
        <v>6</v>
      </c>
      <c r="E18" s="64"/>
      <c r="G18" s="63" t="s">
        <v>6</v>
      </c>
      <c r="H18" s="64"/>
      <c r="J18" s="63" t="s">
        <v>6</v>
      </c>
      <c r="K18" s="64"/>
      <c r="M18" s="63" t="s">
        <v>6</v>
      </c>
      <c r="N18" s="64"/>
      <c r="P18" s="63" t="s">
        <v>6</v>
      </c>
      <c r="Q18" s="64"/>
      <c r="S18" s="363" t="s">
        <v>455</v>
      </c>
      <c r="T18" s="364"/>
      <c r="U18" s="365"/>
      <c r="AB18" s="37"/>
      <c r="AC18" s="37"/>
      <c r="AD18" s="37"/>
      <c r="AE18" s="37"/>
    </row>
    <row r="19" spans="1:31" ht="15">
      <c r="A19" s="17"/>
      <c r="B19" s="19"/>
      <c r="D19" s="258" t="str">
        <f>IF(SUM($E$21:$E$44)&gt;($B$12*100),"Orimlig summa!"," ")</f>
        <v> </v>
      </c>
      <c r="E19" s="65"/>
      <c r="G19" s="258" t="str">
        <f>IF(SUM($E$21:$E$44)&gt;($B$12*100),"Orimlig summa!"," ")</f>
        <v> </v>
      </c>
      <c r="H19" s="65"/>
      <c r="J19" s="258" t="str">
        <f>IF(SUM($E$21:$E$44)&gt;($B$12*100),"Orimlig summa!"," ")</f>
        <v> </v>
      </c>
      <c r="K19" s="65"/>
      <c r="M19" s="258" t="str">
        <f>IF(SUM($E$21:$E$44)&gt;($B$12*100),"Orimlig summa!"," ")</f>
        <v> </v>
      </c>
      <c r="N19" s="65"/>
      <c r="P19" s="258" t="str">
        <f>IF(SUM($E$21:$E$44)&gt;($B$12*100),"Orimlig summa!"," ")</f>
        <v> </v>
      </c>
      <c r="Q19" s="65"/>
      <c r="S19" s="375" t="s">
        <v>454</v>
      </c>
      <c r="T19" s="362"/>
      <c r="U19" s="366"/>
      <c r="AB19" s="37"/>
      <c r="AC19" s="37"/>
      <c r="AD19" s="37"/>
      <c r="AE19" s="37"/>
    </row>
    <row r="20" spans="1:31" ht="12.75">
      <c r="A20" s="20" t="s">
        <v>85</v>
      </c>
      <c r="B20" s="19"/>
      <c r="D20" s="9" t="s">
        <v>86</v>
      </c>
      <c r="E20" s="65"/>
      <c r="G20" s="9" t="s">
        <v>59</v>
      </c>
      <c r="H20" s="65"/>
      <c r="J20" s="9" t="s">
        <v>47</v>
      </c>
      <c r="K20" s="65"/>
      <c r="M20" s="9" t="s">
        <v>86</v>
      </c>
      <c r="N20" s="65"/>
      <c r="P20" s="9" t="s">
        <v>47</v>
      </c>
      <c r="Q20" s="65"/>
      <c r="S20" s="367" t="s">
        <v>47</v>
      </c>
      <c r="T20" s="362"/>
      <c r="U20" s="366"/>
      <c r="AB20" s="37"/>
      <c r="AC20" s="37"/>
      <c r="AD20" s="37"/>
      <c r="AE20" s="37"/>
    </row>
    <row r="21" spans="1:31" ht="15">
      <c r="A21" s="31" t="s">
        <v>48</v>
      </c>
      <c r="B21" s="174">
        <v>100</v>
      </c>
      <c r="D21" s="10" t="s">
        <v>48</v>
      </c>
      <c r="E21" s="99">
        <f>B21*10^(-4)</f>
        <v>0.01</v>
      </c>
      <c r="G21" s="10" t="s">
        <v>48</v>
      </c>
      <c r="H21" s="66">
        <f aca="true" t="shared" si="0" ref="H21:H43">B21/$B$12</f>
        <v>775.1937984496124</v>
      </c>
      <c r="J21" s="10" t="s">
        <v>48</v>
      </c>
      <c r="K21" s="99">
        <f>H21*10^(-4)</f>
        <v>0.07751937984496124</v>
      </c>
      <c r="M21" s="10" t="s">
        <v>139</v>
      </c>
      <c r="N21" s="68">
        <f>E37*(30.97*2+16*5)/(30.97*2)</f>
        <v>0.15353535679690025</v>
      </c>
      <c r="P21" s="10" t="s">
        <v>139</v>
      </c>
      <c r="Q21" s="68">
        <f>N21/$B$12</f>
        <v>1.1901965643170562</v>
      </c>
      <c r="S21" s="368" t="s">
        <v>417</v>
      </c>
      <c r="T21" s="369">
        <f>Q22</f>
        <v>1.0778891768153858</v>
      </c>
      <c r="U21" s="370">
        <f>Q22</f>
        <v>1.0778891768153858</v>
      </c>
      <c r="AB21" s="37"/>
      <c r="AC21" s="37"/>
      <c r="AD21" s="37"/>
      <c r="AE21" s="37"/>
    </row>
    <row r="22" spans="1:31" ht="15">
      <c r="A22" s="31" t="s">
        <v>126</v>
      </c>
      <c r="B22" s="174">
        <v>0.054</v>
      </c>
      <c r="D22" s="10" t="s">
        <v>126</v>
      </c>
      <c r="E22" s="99">
        <f aca="true" t="shared" si="1" ref="E22:E44">B22*10^(-4)</f>
        <v>5.4E-06</v>
      </c>
      <c r="G22" s="10" t="s">
        <v>126</v>
      </c>
      <c r="H22" s="66">
        <f t="shared" si="0"/>
        <v>0.41860465116279066</v>
      </c>
      <c r="J22" s="10" t="s">
        <v>126</v>
      </c>
      <c r="K22" s="99">
        <f aca="true" t="shared" si="2" ref="K22:K44">H22*10^(-4)</f>
        <v>4.186046511627907E-05</v>
      </c>
      <c r="M22" s="10" t="s">
        <v>140</v>
      </c>
      <c r="N22" s="68">
        <f>E40*(28.09+2*16)/28.09</f>
        <v>0.13904770380918477</v>
      </c>
      <c r="P22" s="10" t="s">
        <v>140</v>
      </c>
      <c r="Q22" s="68">
        <f>N22/$B$12</f>
        <v>1.0778891768153858</v>
      </c>
      <c r="S22" s="368" t="s">
        <v>418</v>
      </c>
      <c r="T22" s="371"/>
      <c r="U22" s="370">
        <f>Q23</f>
        <v>0.14647657466627592</v>
      </c>
      <c r="AB22" s="37"/>
      <c r="AC22" s="37"/>
      <c r="AD22" s="37"/>
      <c r="AE22" s="37"/>
    </row>
    <row r="23" spans="1:31" ht="15">
      <c r="A23" s="31" t="s">
        <v>49</v>
      </c>
      <c r="B23" s="174">
        <v>110</v>
      </c>
      <c r="D23" s="10" t="s">
        <v>49</v>
      </c>
      <c r="E23" s="99">
        <f t="shared" si="1"/>
        <v>0.011000000000000001</v>
      </c>
      <c r="G23" s="10" t="s">
        <v>49</v>
      </c>
      <c r="H23" s="66">
        <f t="shared" si="0"/>
        <v>852.7131782945736</v>
      </c>
      <c r="J23" s="10" t="s">
        <v>49</v>
      </c>
      <c r="K23" s="99">
        <f t="shared" si="2"/>
        <v>0.08527131782945736</v>
      </c>
      <c r="M23" s="10" t="s">
        <v>141</v>
      </c>
      <c r="N23" s="68">
        <f>E21*(2*26.98+3*16)/(26.98*2)</f>
        <v>0.018895478131949594</v>
      </c>
      <c r="P23" s="10" t="s">
        <v>141</v>
      </c>
      <c r="Q23" s="68">
        <f aca="true" t="shared" si="3" ref="Q23:Q31">N23/$B$12</f>
        <v>0.14647657466627592</v>
      </c>
      <c r="S23" s="368" t="s">
        <v>43</v>
      </c>
      <c r="T23" s="371"/>
      <c r="U23" s="370">
        <f>Q24</f>
        <v>8.460288724875829</v>
      </c>
      <c r="AB23" s="37"/>
      <c r="AC23" s="37"/>
      <c r="AD23" s="37"/>
      <c r="AE23" s="37"/>
    </row>
    <row r="24" spans="1:31" ht="15">
      <c r="A24" s="31" t="s">
        <v>50</v>
      </c>
      <c r="B24" s="174">
        <v>7800</v>
      </c>
      <c r="D24" s="10" t="s">
        <v>50</v>
      </c>
      <c r="E24" s="99">
        <f t="shared" si="1"/>
        <v>0.78</v>
      </c>
      <c r="G24" s="10" t="s">
        <v>50</v>
      </c>
      <c r="H24" s="66">
        <f t="shared" si="0"/>
        <v>60465.11627906976</v>
      </c>
      <c r="J24" s="10" t="s">
        <v>50</v>
      </c>
      <c r="K24" s="99">
        <f t="shared" si="2"/>
        <v>6.046511627906977</v>
      </c>
      <c r="M24" s="10" t="s">
        <v>43</v>
      </c>
      <c r="N24" s="68">
        <f>E24*(40.08+16)/40.08</f>
        <v>1.091377245508982</v>
      </c>
      <c r="P24" s="10" t="s">
        <v>43</v>
      </c>
      <c r="Q24" s="68">
        <f t="shared" si="3"/>
        <v>8.460288724875829</v>
      </c>
      <c r="S24" s="368" t="s">
        <v>419</v>
      </c>
      <c r="T24" s="371"/>
      <c r="U24" s="370">
        <f>Q25</f>
        <v>0.10750626331605281</v>
      </c>
      <c r="AB24" s="37"/>
      <c r="AC24" s="37"/>
      <c r="AD24" s="37"/>
      <c r="AE24" s="37"/>
    </row>
    <row r="25" spans="1:31" ht="15">
      <c r="A25" s="31" t="s">
        <v>127</v>
      </c>
      <c r="B25" s="174">
        <v>0.26</v>
      </c>
      <c r="D25" s="10" t="s">
        <v>127</v>
      </c>
      <c r="E25" s="99">
        <f t="shared" si="1"/>
        <v>2.6000000000000002E-05</v>
      </c>
      <c r="G25" s="10" t="s">
        <v>127</v>
      </c>
      <c r="H25" s="66">
        <f t="shared" si="0"/>
        <v>2.0155038759689923</v>
      </c>
      <c r="J25" s="10" t="s">
        <v>127</v>
      </c>
      <c r="K25" s="99">
        <f>H25*10^(-4)</f>
        <v>0.00020155038759689923</v>
      </c>
      <c r="M25" s="10" t="s">
        <v>142</v>
      </c>
      <c r="N25" s="68">
        <f>E29*(55.85*2+16*3)/(55.85*2)</f>
        <v>0.013868307967770813</v>
      </c>
      <c r="P25" s="10" t="s">
        <v>142</v>
      </c>
      <c r="Q25" s="68">
        <f t="shared" si="3"/>
        <v>0.10750626331605281</v>
      </c>
      <c r="S25" s="368" t="s">
        <v>420</v>
      </c>
      <c r="T25" s="371"/>
      <c r="U25" s="370">
        <f>Q31</f>
        <v>2.241122940581693</v>
      </c>
      <c r="AB25" s="37"/>
      <c r="AC25" s="37"/>
      <c r="AD25" s="37"/>
      <c r="AE25" s="37"/>
    </row>
    <row r="26" spans="1:31" ht="15">
      <c r="A26" s="31" t="s">
        <v>128</v>
      </c>
      <c r="B26" s="174">
        <v>0.33</v>
      </c>
      <c r="D26" s="10" t="s">
        <v>128</v>
      </c>
      <c r="E26" s="99">
        <f t="shared" si="1"/>
        <v>3.3E-05</v>
      </c>
      <c r="G26" s="10" t="s">
        <v>128</v>
      </c>
      <c r="H26" s="66">
        <f t="shared" si="0"/>
        <v>2.558139534883721</v>
      </c>
      <c r="J26" s="10" t="s">
        <v>128</v>
      </c>
      <c r="K26" s="99">
        <f t="shared" si="2"/>
        <v>0.0002558139534883721</v>
      </c>
      <c r="M26" s="10" t="s">
        <v>143</v>
      </c>
      <c r="N26" s="68">
        <f>E41*(47.88+2*16)/47.88</f>
        <v>0.001835171261487051</v>
      </c>
      <c r="P26" s="10" t="s">
        <v>143</v>
      </c>
      <c r="Q26" s="68">
        <f t="shared" si="3"/>
        <v>0.01422613380997714</v>
      </c>
      <c r="S26" s="368" t="s">
        <v>44</v>
      </c>
      <c r="T26" s="371"/>
      <c r="U26" s="370">
        <f>Q28</f>
        <v>0.8483636746290647</v>
      </c>
      <c r="AB26" s="37"/>
      <c r="AC26" s="37"/>
      <c r="AD26" s="37"/>
      <c r="AE26" s="37"/>
    </row>
    <row r="27" spans="1:31" ht="15">
      <c r="A27" s="31" t="s">
        <v>129</v>
      </c>
      <c r="B27" s="174">
        <v>1.4</v>
      </c>
      <c r="D27" s="10" t="s">
        <v>129</v>
      </c>
      <c r="E27" s="99">
        <f t="shared" si="1"/>
        <v>0.00014</v>
      </c>
      <c r="G27" s="10" t="s">
        <v>129</v>
      </c>
      <c r="H27" s="66">
        <f t="shared" si="0"/>
        <v>10.852713178294573</v>
      </c>
      <c r="J27" s="10" t="s">
        <v>129</v>
      </c>
      <c r="K27" s="99">
        <f t="shared" si="2"/>
        <v>0.0010852713178294575</v>
      </c>
      <c r="M27" s="10" t="s">
        <v>192</v>
      </c>
      <c r="N27" s="68">
        <f>E33*(54.94+16)/54.94</f>
        <v>0.06068765926465235</v>
      </c>
      <c r="P27" s="10" t="s">
        <v>192</v>
      </c>
      <c r="Q27" s="68">
        <f t="shared" si="3"/>
        <v>0.4704469710438166</v>
      </c>
      <c r="S27" s="368" t="s">
        <v>421</v>
      </c>
      <c r="T27" s="371"/>
      <c r="U27" s="370">
        <f>Q34</f>
        <v>0.5765528568163154</v>
      </c>
      <c r="AB27" s="37"/>
      <c r="AC27" s="37"/>
      <c r="AD27" s="37"/>
      <c r="AE27" s="37"/>
    </row>
    <row r="28" spans="1:31" ht="15">
      <c r="A28" s="31" t="s">
        <v>130</v>
      </c>
      <c r="B28" s="174">
        <v>3.8</v>
      </c>
      <c r="D28" s="10" t="s">
        <v>130</v>
      </c>
      <c r="E28" s="99">
        <f t="shared" si="1"/>
        <v>0.00038</v>
      </c>
      <c r="G28" s="10" t="s">
        <v>130</v>
      </c>
      <c r="H28" s="66">
        <f t="shared" si="0"/>
        <v>29.45736434108527</v>
      </c>
      <c r="J28" s="10" t="s">
        <v>130</v>
      </c>
      <c r="K28" s="99">
        <f t="shared" si="2"/>
        <v>0.0029457364341085274</v>
      </c>
      <c r="M28" s="10" t="s">
        <v>44</v>
      </c>
      <c r="N28" s="68">
        <f>E32*(24.31+16)/24.31</f>
        <v>0.10943891402714935</v>
      </c>
      <c r="P28" s="10" t="s">
        <v>44</v>
      </c>
      <c r="Q28" s="68">
        <f t="shared" si="3"/>
        <v>0.8483636746290647</v>
      </c>
      <c r="S28" s="368" t="s">
        <v>422</v>
      </c>
      <c r="T28" s="371"/>
      <c r="U28" s="370">
        <f>Q30</f>
        <v>0.0564269601545667</v>
      </c>
      <c r="AB28" s="37"/>
      <c r="AC28" s="37"/>
      <c r="AD28" s="37"/>
      <c r="AE28" s="37"/>
    </row>
    <row r="29" spans="1:31" ht="15">
      <c r="A29" s="31" t="s">
        <v>51</v>
      </c>
      <c r="B29" s="174">
        <v>97</v>
      </c>
      <c r="D29" s="10" t="s">
        <v>51</v>
      </c>
      <c r="E29" s="99">
        <f t="shared" si="1"/>
        <v>0.0097</v>
      </c>
      <c r="G29" s="10" t="s">
        <v>51</v>
      </c>
      <c r="H29" s="66">
        <f t="shared" si="0"/>
        <v>751.937984496124</v>
      </c>
      <c r="J29" s="10" t="s">
        <v>51</v>
      </c>
      <c r="K29" s="99">
        <f t="shared" si="2"/>
        <v>0.07519379844961241</v>
      </c>
      <c r="M29" s="10" t="s">
        <v>45</v>
      </c>
      <c r="N29" s="68">
        <f>E23*(137.3+16)/137.3</f>
        <v>0.012281864530225785</v>
      </c>
      <c r="P29" s="10" t="s">
        <v>45</v>
      </c>
      <c r="Q29" s="68">
        <f t="shared" si="3"/>
        <v>0.09520825217229291</v>
      </c>
      <c r="S29" s="368" t="s">
        <v>423</v>
      </c>
      <c r="T29" s="371"/>
      <c r="U29" s="370">
        <f>Q21</f>
        <v>1.1901965643170562</v>
      </c>
      <c r="AB29" s="37"/>
      <c r="AC29" s="37"/>
      <c r="AD29" s="37"/>
      <c r="AE29" s="37"/>
    </row>
    <row r="30" spans="1:31" ht="15.75" thickBot="1">
      <c r="A30" s="31" t="s">
        <v>131</v>
      </c>
      <c r="B30" s="174">
        <v>0.022</v>
      </c>
      <c r="D30" s="10" t="s">
        <v>131</v>
      </c>
      <c r="E30" s="99">
        <f t="shared" si="1"/>
        <v>2.2E-06</v>
      </c>
      <c r="G30" s="10" t="s">
        <v>131</v>
      </c>
      <c r="H30" s="66">
        <f t="shared" si="0"/>
        <v>0.17054263565891473</v>
      </c>
      <c r="J30" s="10" t="s">
        <v>131</v>
      </c>
      <c r="K30" s="99">
        <f t="shared" si="2"/>
        <v>1.7054263565891473E-05</v>
      </c>
      <c r="M30" s="10" t="s">
        <v>145</v>
      </c>
      <c r="N30" s="68">
        <f>E35*(22.99*2+16)/(2*22.99)</f>
        <v>0.007279077859939104</v>
      </c>
      <c r="P30" s="10" t="s">
        <v>145</v>
      </c>
      <c r="Q30" s="68">
        <f t="shared" si="3"/>
        <v>0.0564269601545667</v>
      </c>
      <c r="S30" s="372" t="s">
        <v>424</v>
      </c>
      <c r="T30" s="373"/>
      <c r="U30" s="374">
        <f>Q26</f>
        <v>0.01422613380997714</v>
      </c>
      <c r="AB30" s="37"/>
      <c r="AC30" s="37"/>
      <c r="AD30" s="37"/>
      <c r="AE30" s="37"/>
    </row>
    <row r="31" spans="1:31" ht="15">
      <c r="A31" s="31" t="s">
        <v>52</v>
      </c>
      <c r="B31" s="174">
        <v>2400</v>
      </c>
      <c r="D31" s="10" t="s">
        <v>52</v>
      </c>
      <c r="E31" s="99">
        <f t="shared" si="1"/>
        <v>0.24000000000000002</v>
      </c>
      <c r="G31" s="10" t="s">
        <v>52</v>
      </c>
      <c r="H31" s="66">
        <f t="shared" si="0"/>
        <v>18604.6511627907</v>
      </c>
      <c r="J31" s="10" t="s">
        <v>52</v>
      </c>
      <c r="K31" s="99">
        <f t="shared" si="2"/>
        <v>1.86046511627907</v>
      </c>
      <c r="M31" s="12" t="s">
        <v>146</v>
      </c>
      <c r="N31" s="69">
        <f>E31*(39.1*2+16)/(39.1*2)</f>
        <v>0.2891048593350384</v>
      </c>
      <c r="P31" s="12" t="s">
        <v>146</v>
      </c>
      <c r="Q31" s="69">
        <f t="shared" si="3"/>
        <v>2.241122940581693</v>
      </c>
      <c r="AB31" s="37"/>
      <c r="AC31" s="37"/>
      <c r="AD31" s="37"/>
      <c r="AE31" s="37"/>
    </row>
    <row r="32" spans="1:31" ht="12.75">
      <c r="A32" s="31" t="s">
        <v>53</v>
      </c>
      <c r="B32" s="174">
        <v>660</v>
      </c>
      <c r="D32" s="10" t="s">
        <v>53</v>
      </c>
      <c r="E32" s="99">
        <f t="shared" si="1"/>
        <v>0.066</v>
      </c>
      <c r="G32" s="10" t="s">
        <v>53</v>
      </c>
      <c r="H32" s="66">
        <f t="shared" si="0"/>
        <v>5116.279069767442</v>
      </c>
      <c r="J32" s="10" t="s">
        <v>53</v>
      </c>
      <c r="K32" s="99">
        <f t="shared" si="2"/>
        <v>0.5116279069767442</v>
      </c>
      <c r="M32" s="37" t="s">
        <v>62</v>
      </c>
      <c r="N32" s="340">
        <f>SUM(N21:N31)</f>
        <v>1.8973516384932796</v>
      </c>
      <c r="P32" s="37" t="s">
        <v>440</v>
      </c>
      <c r="Q32" s="340">
        <f>100-SUM(Q21:Q31)</f>
        <v>85.291847763618</v>
      </c>
      <c r="AB32" s="37"/>
      <c r="AC32" s="37"/>
      <c r="AD32" s="37"/>
      <c r="AE32" s="37"/>
    </row>
    <row r="33" spans="1:31" ht="12.75">
      <c r="A33" s="31" t="s">
        <v>54</v>
      </c>
      <c r="B33" s="174">
        <v>470</v>
      </c>
      <c r="D33" s="10" t="s">
        <v>54</v>
      </c>
      <c r="E33" s="99">
        <f t="shared" si="1"/>
        <v>0.047</v>
      </c>
      <c r="G33" s="10" t="s">
        <v>54</v>
      </c>
      <c r="H33" s="66">
        <f t="shared" si="0"/>
        <v>3643.410852713178</v>
      </c>
      <c r="J33" s="10" t="s">
        <v>54</v>
      </c>
      <c r="K33" s="99">
        <f t="shared" si="2"/>
        <v>0.3643410852713178</v>
      </c>
      <c r="M33" s="76" t="s">
        <v>216</v>
      </c>
      <c r="P33" s="37"/>
      <c r="Q33" s="37"/>
      <c r="AB33" s="37"/>
      <c r="AC33" s="37"/>
      <c r="AD33" s="37"/>
      <c r="AE33" s="37"/>
    </row>
    <row r="34" spans="1:31" ht="15">
      <c r="A34" s="31" t="s">
        <v>132</v>
      </c>
      <c r="B34" s="321">
        <v>0.11</v>
      </c>
      <c r="D34" s="10" t="s">
        <v>132</v>
      </c>
      <c r="E34" s="99">
        <f t="shared" si="1"/>
        <v>1.1000000000000001E-05</v>
      </c>
      <c r="G34" s="10" t="s">
        <v>132</v>
      </c>
      <c r="H34" s="66">
        <f t="shared" si="0"/>
        <v>0.8527131782945736</v>
      </c>
      <c r="J34" s="10" t="s">
        <v>132</v>
      </c>
      <c r="K34" s="99">
        <f t="shared" si="2"/>
        <v>8.527131782945736E-05</v>
      </c>
      <c r="M34" s="224" t="s">
        <v>144</v>
      </c>
      <c r="N34" s="225">
        <f>E33*(54.94+2*16)/54.94</f>
        <v>0.0743753185293047</v>
      </c>
      <c r="P34" s="224" t="s">
        <v>144</v>
      </c>
      <c r="Q34" s="225">
        <f>N34/$B$12</f>
        <v>0.5765528568163154</v>
      </c>
      <c r="AB34" s="37"/>
      <c r="AC34" s="37"/>
      <c r="AD34" s="37"/>
      <c r="AE34" s="37"/>
    </row>
    <row r="35" spans="1:31" ht="12.75">
      <c r="A35" s="31" t="s">
        <v>55</v>
      </c>
      <c r="B35" s="174">
        <v>54</v>
      </c>
      <c r="D35" s="10" t="s">
        <v>55</v>
      </c>
      <c r="E35" s="99">
        <f t="shared" si="1"/>
        <v>0.0054</v>
      </c>
      <c r="G35" s="10" t="s">
        <v>55</v>
      </c>
      <c r="H35" s="66">
        <f t="shared" si="0"/>
        <v>418.6046511627907</v>
      </c>
      <c r="J35" s="10" t="s">
        <v>55</v>
      </c>
      <c r="K35" s="99">
        <f t="shared" si="2"/>
        <v>0.04186046511627907</v>
      </c>
      <c r="M35" s="37"/>
      <c r="N35" s="37"/>
      <c r="P35" s="37"/>
      <c r="Q35" s="37"/>
      <c r="AB35" s="37"/>
      <c r="AC35" s="37"/>
      <c r="AD35" s="37"/>
      <c r="AE35" s="37"/>
    </row>
    <row r="36" spans="1:11" s="37" customFormat="1" ht="12.75">
      <c r="A36" s="31" t="s">
        <v>133</v>
      </c>
      <c r="B36" s="174">
        <v>1.2</v>
      </c>
      <c r="D36" s="10" t="s">
        <v>133</v>
      </c>
      <c r="E36" s="99">
        <f t="shared" si="1"/>
        <v>0.00012</v>
      </c>
      <c r="G36" s="10" t="s">
        <v>133</v>
      </c>
      <c r="H36" s="66">
        <f t="shared" si="0"/>
        <v>9.302325581395348</v>
      </c>
      <c r="J36" s="10" t="s">
        <v>133</v>
      </c>
      <c r="K36" s="99">
        <f t="shared" si="2"/>
        <v>0.0009302325581395348</v>
      </c>
    </row>
    <row r="37" spans="1:11" s="37" customFormat="1" ht="12.75">
      <c r="A37" s="31" t="s">
        <v>56</v>
      </c>
      <c r="B37" s="174">
        <v>670</v>
      </c>
      <c r="D37" s="10" t="s">
        <v>56</v>
      </c>
      <c r="E37" s="99">
        <f t="shared" si="1"/>
        <v>0.067</v>
      </c>
      <c r="G37" s="10" t="s">
        <v>56</v>
      </c>
      <c r="H37" s="66">
        <f t="shared" si="0"/>
        <v>5193.798449612403</v>
      </c>
      <c r="J37" s="10" t="s">
        <v>56</v>
      </c>
      <c r="K37" s="99">
        <f t="shared" si="2"/>
        <v>0.5193798449612403</v>
      </c>
    </row>
    <row r="38" spans="1:11" s="37" customFormat="1" ht="12.75">
      <c r="A38" s="31" t="s">
        <v>134</v>
      </c>
      <c r="B38" s="174">
        <v>1</v>
      </c>
      <c r="D38" s="10" t="s">
        <v>134</v>
      </c>
      <c r="E38" s="99">
        <f t="shared" si="1"/>
        <v>0.0001</v>
      </c>
      <c r="G38" s="10" t="s">
        <v>134</v>
      </c>
      <c r="H38" s="66">
        <f t="shared" si="0"/>
        <v>7.751937984496124</v>
      </c>
      <c r="J38" s="10" t="s">
        <v>134</v>
      </c>
      <c r="K38" s="99">
        <f t="shared" si="2"/>
        <v>0.0007751937984496124</v>
      </c>
    </row>
    <row r="39" spans="1:36" ht="12.75">
      <c r="A39" s="31" t="s">
        <v>135</v>
      </c>
      <c r="B39" s="174">
        <v>0.22</v>
      </c>
      <c r="D39" s="10" t="s">
        <v>135</v>
      </c>
      <c r="E39" s="99">
        <f t="shared" si="1"/>
        <v>2.2000000000000003E-05</v>
      </c>
      <c r="G39" s="10" t="s">
        <v>135</v>
      </c>
      <c r="H39" s="66">
        <f t="shared" si="0"/>
        <v>1.7054263565891472</v>
      </c>
      <c r="J39" s="10" t="s">
        <v>135</v>
      </c>
      <c r="K39" s="99">
        <f t="shared" si="2"/>
        <v>0.00017054263565891473</v>
      </c>
      <c r="M39" s="37"/>
      <c r="N39" s="37"/>
      <c r="P39" s="37"/>
      <c r="Q39" s="37"/>
      <c r="AB39" s="37"/>
      <c r="AC39" s="37"/>
      <c r="AD39" s="37"/>
      <c r="AE39" s="37"/>
      <c r="AF39" s="37"/>
      <c r="AG39" s="37"/>
      <c r="AH39" s="37"/>
      <c r="AI39" s="37"/>
      <c r="AJ39" s="37"/>
    </row>
    <row r="40" spans="1:36" ht="12.75">
      <c r="A40" s="31" t="s">
        <v>57</v>
      </c>
      <c r="B40" s="174">
        <v>650</v>
      </c>
      <c r="D40" s="10" t="s">
        <v>57</v>
      </c>
      <c r="E40" s="99">
        <f t="shared" si="1"/>
        <v>0.065</v>
      </c>
      <c r="G40" s="10" t="s">
        <v>57</v>
      </c>
      <c r="H40" s="66">
        <f t="shared" si="0"/>
        <v>5038.759689922481</v>
      </c>
      <c r="J40" s="10" t="s">
        <v>57</v>
      </c>
      <c r="K40" s="99">
        <f t="shared" si="2"/>
        <v>0.5038759689922481</v>
      </c>
      <c r="M40" s="37"/>
      <c r="N40" s="37"/>
      <c r="P40" s="37"/>
      <c r="Q40" s="37"/>
      <c r="AB40" s="37"/>
      <c r="AC40" s="37"/>
      <c r="AD40" s="37"/>
      <c r="AE40" s="37"/>
      <c r="AF40" s="37"/>
      <c r="AG40" s="37"/>
      <c r="AH40" s="37"/>
      <c r="AI40" s="37"/>
      <c r="AJ40" s="37"/>
    </row>
    <row r="41" spans="1:36" ht="12.75">
      <c r="A41" s="31" t="s">
        <v>58</v>
      </c>
      <c r="B41" s="174">
        <v>11</v>
      </c>
      <c r="D41" s="10" t="s">
        <v>58</v>
      </c>
      <c r="E41" s="99">
        <f t="shared" si="1"/>
        <v>0.0011</v>
      </c>
      <c r="G41" s="10" t="s">
        <v>58</v>
      </c>
      <c r="H41" s="66">
        <f t="shared" si="0"/>
        <v>85.27131782945736</v>
      </c>
      <c r="J41" s="10" t="s">
        <v>58</v>
      </c>
      <c r="K41" s="99">
        <f t="shared" si="2"/>
        <v>0.008527131782945736</v>
      </c>
      <c r="M41" s="37"/>
      <c r="N41" s="37"/>
      <c r="P41" s="37"/>
      <c r="Q41" s="37"/>
      <c r="AB41" s="37"/>
      <c r="AC41" s="37"/>
      <c r="AD41" s="37"/>
      <c r="AE41" s="37"/>
      <c r="AF41" s="37"/>
      <c r="AG41" s="37"/>
      <c r="AH41" s="37"/>
      <c r="AI41" s="37"/>
      <c r="AJ41" s="37"/>
    </row>
    <row r="42" spans="1:36" ht="12.75">
      <c r="A42" s="31" t="s">
        <v>136</v>
      </c>
      <c r="B42" s="230"/>
      <c r="D42" s="10" t="s">
        <v>136</v>
      </c>
      <c r="E42" s="99">
        <f t="shared" si="1"/>
        <v>0</v>
      </c>
      <c r="G42" s="10" t="s">
        <v>136</v>
      </c>
      <c r="H42" s="66">
        <f t="shared" si="0"/>
        <v>0</v>
      </c>
      <c r="J42" s="10" t="s">
        <v>136</v>
      </c>
      <c r="K42" s="99">
        <f t="shared" si="2"/>
        <v>0</v>
      </c>
      <c r="M42" s="37"/>
      <c r="N42" s="37"/>
      <c r="P42" s="37"/>
      <c r="Q42" s="37"/>
      <c r="AB42" s="37"/>
      <c r="AC42" s="37"/>
      <c r="AD42" s="37"/>
      <c r="AE42" s="37"/>
      <c r="AF42" s="37"/>
      <c r="AG42" s="37"/>
      <c r="AH42" s="37"/>
      <c r="AI42" s="37"/>
      <c r="AJ42" s="37"/>
    </row>
    <row r="43" spans="1:36" ht="12.75">
      <c r="A43" s="31" t="s">
        <v>137</v>
      </c>
      <c r="B43" s="174">
        <v>0.29</v>
      </c>
      <c r="D43" s="10" t="s">
        <v>137</v>
      </c>
      <c r="E43" s="99">
        <f t="shared" si="1"/>
        <v>2.9E-05</v>
      </c>
      <c r="G43" s="10" t="s">
        <v>137</v>
      </c>
      <c r="H43" s="66">
        <f t="shared" si="0"/>
        <v>2.248062015503876</v>
      </c>
      <c r="J43" s="10" t="s">
        <v>137</v>
      </c>
      <c r="K43" s="99">
        <f t="shared" si="2"/>
        <v>0.0002248062015503876</v>
      </c>
      <c r="M43" s="37"/>
      <c r="N43" s="37"/>
      <c r="P43" s="37"/>
      <c r="Q43" s="37"/>
      <c r="AB43" s="37"/>
      <c r="AC43" s="37"/>
      <c r="AD43" s="37"/>
      <c r="AE43" s="37"/>
      <c r="AF43" s="37"/>
      <c r="AG43" s="37"/>
      <c r="AH43" s="37"/>
      <c r="AI43" s="37"/>
      <c r="AJ43" s="37"/>
    </row>
    <row r="44" spans="1:36" ht="12.75">
      <c r="A44" s="23" t="s">
        <v>138</v>
      </c>
      <c r="B44" s="322">
        <v>70</v>
      </c>
      <c r="D44" s="12" t="s">
        <v>138</v>
      </c>
      <c r="E44" s="124">
        <f t="shared" si="1"/>
        <v>0.007</v>
      </c>
      <c r="G44" s="12" t="s">
        <v>138</v>
      </c>
      <c r="H44" s="67">
        <f>B44/$B$12</f>
        <v>542.6356589147287</v>
      </c>
      <c r="J44" s="12" t="s">
        <v>138</v>
      </c>
      <c r="K44" s="124">
        <f t="shared" si="2"/>
        <v>0.05426356589147287</v>
      </c>
      <c r="M44" s="37"/>
      <c r="N44" s="37"/>
      <c r="P44" s="37"/>
      <c r="Q44" s="37"/>
      <c r="AB44" s="37"/>
      <c r="AC44" s="37"/>
      <c r="AD44" s="37"/>
      <c r="AE44" s="37"/>
      <c r="AF44" s="37"/>
      <c r="AG44" s="37"/>
      <c r="AH44" s="37"/>
      <c r="AI44" s="37"/>
      <c r="AJ44" s="37"/>
    </row>
    <row r="45" spans="1:36" ht="12.75">
      <c r="A45" s="37"/>
      <c r="B45" s="37"/>
      <c r="D45" s="37"/>
      <c r="E45" s="37"/>
      <c r="H45" s="37"/>
      <c r="J45" s="37"/>
      <c r="K45" s="37"/>
      <c r="M45" s="37"/>
      <c r="N45" s="37"/>
      <c r="P45" s="37"/>
      <c r="Q45" s="37"/>
      <c r="AB45" s="37"/>
      <c r="AC45" s="37"/>
      <c r="AD45" s="37"/>
      <c r="AE45" s="37"/>
      <c r="AF45" s="37"/>
      <c r="AG45" s="37"/>
      <c r="AH45" s="37"/>
      <c r="AI45" s="37"/>
      <c r="AJ45" s="37"/>
    </row>
    <row r="46" spans="1:15" s="37" customFormat="1" ht="21" customHeight="1">
      <c r="A46" s="49" t="s">
        <v>187</v>
      </c>
      <c r="C46" s="70"/>
      <c r="F46" s="70"/>
      <c r="I46" s="70"/>
      <c r="L46" s="70"/>
      <c r="O46" s="70"/>
    </row>
    <row r="47" spans="1:15" s="37" customFormat="1" ht="16.5" thickBot="1">
      <c r="A47" s="49"/>
      <c r="C47" s="70"/>
      <c r="F47" s="70"/>
      <c r="I47" s="70"/>
      <c r="L47" s="70"/>
      <c r="O47" s="70"/>
    </row>
    <row r="48" spans="1:36" ht="15">
      <c r="A48" s="14" t="s">
        <v>13</v>
      </c>
      <c r="B48" s="16"/>
      <c r="D48" s="63" t="s">
        <v>6</v>
      </c>
      <c r="E48" s="64"/>
      <c r="G48" s="63" t="s">
        <v>6</v>
      </c>
      <c r="H48" s="64"/>
      <c r="J48" s="63" t="s">
        <v>6</v>
      </c>
      <c r="K48" s="64"/>
      <c r="M48" s="63" t="s">
        <v>6</v>
      </c>
      <c r="N48" s="64"/>
      <c r="P48" s="63" t="s">
        <v>6</v>
      </c>
      <c r="Q48" s="64"/>
      <c r="S48" s="363" t="s">
        <v>455</v>
      </c>
      <c r="T48" s="364"/>
      <c r="U48" s="365"/>
      <c r="AB48" s="37"/>
      <c r="AC48" s="37"/>
      <c r="AD48" s="37"/>
      <c r="AE48" s="37"/>
      <c r="AF48" s="37"/>
      <c r="AG48" s="37"/>
      <c r="AH48" s="37"/>
      <c r="AI48" s="37"/>
      <c r="AJ48" s="37"/>
    </row>
    <row r="49" spans="1:36" ht="15">
      <c r="A49" s="17"/>
      <c r="B49" s="19"/>
      <c r="D49" s="258" t="str">
        <f>IF(SUM($B$51:$B$74)&gt;($B$12*100),"Orimlig summa!"," ")</f>
        <v> </v>
      </c>
      <c r="E49" s="65"/>
      <c r="G49" s="258" t="str">
        <f>IF(SUM($B$51:$B$74)&gt;($B$12*100),"Orimlig summa!"," ")</f>
        <v> </v>
      </c>
      <c r="H49" s="65"/>
      <c r="J49" s="258" t="str">
        <f>IF(SUM($B$51:$B$74)&gt;($B$12*100),"Orimlig summa!"," ")</f>
        <v> </v>
      </c>
      <c r="K49" s="65"/>
      <c r="M49" s="258" t="str">
        <f>IF(SUM($B$51:$B$74)&gt;($B$12*100),"Orimlig summa!"," ")</f>
        <v> </v>
      </c>
      <c r="N49" s="65"/>
      <c r="P49" s="258" t="str">
        <f>IF(SUM($B$51:$B$74)&gt;($B$12*100),"Orimlig summa!"," ")</f>
        <v> </v>
      </c>
      <c r="Q49" s="65"/>
      <c r="S49" s="375" t="s">
        <v>454</v>
      </c>
      <c r="T49" s="362"/>
      <c r="U49" s="366"/>
      <c r="AB49" s="37"/>
      <c r="AC49" s="37"/>
      <c r="AD49" s="37"/>
      <c r="AE49" s="37"/>
      <c r="AF49" s="37"/>
      <c r="AG49" s="37"/>
      <c r="AH49" s="37"/>
      <c r="AI49" s="37"/>
      <c r="AJ49" s="37"/>
    </row>
    <row r="50" spans="1:36" ht="12.75">
      <c r="A50" s="20" t="s">
        <v>86</v>
      </c>
      <c r="B50" s="19"/>
      <c r="D50" s="9" t="s">
        <v>85</v>
      </c>
      <c r="E50" s="65"/>
      <c r="G50" s="9" t="s">
        <v>59</v>
      </c>
      <c r="H50" s="65"/>
      <c r="J50" s="9" t="s">
        <v>47</v>
      </c>
      <c r="K50" s="65"/>
      <c r="M50" s="9" t="s">
        <v>86</v>
      </c>
      <c r="N50" s="65"/>
      <c r="P50" s="9" t="s">
        <v>47</v>
      </c>
      <c r="Q50" s="65"/>
      <c r="S50" s="367" t="s">
        <v>47</v>
      </c>
      <c r="T50" s="362"/>
      <c r="U50" s="366"/>
      <c r="AB50" s="37"/>
      <c r="AC50" s="37"/>
      <c r="AD50" s="37"/>
      <c r="AE50" s="37"/>
      <c r="AF50" s="37"/>
      <c r="AG50" s="37"/>
      <c r="AH50" s="37"/>
      <c r="AI50" s="37"/>
      <c r="AJ50" s="37"/>
    </row>
    <row r="51" spans="1:36" ht="15">
      <c r="A51" s="31" t="s">
        <v>48</v>
      </c>
      <c r="B51" s="133">
        <v>0.26966</v>
      </c>
      <c r="D51" s="10" t="s">
        <v>48</v>
      </c>
      <c r="E51" s="66">
        <f>B51*10^4</f>
        <v>2696.6</v>
      </c>
      <c r="G51" s="10" t="s">
        <v>48</v>
      </c>
      <c r="H51" s="66">
        <f>E51/$B$12</f>
        <v>20903.875968992248</v>
      </c>
      <c r="J51" s="10" t="s">
        <v>48</v>
      </c>
      <c r="K51" s="99">
        <f>H51*10^(-4)</f>
        <v>2.090387596899225</v>
      </c>
      <c r="M51" s="10" t="s">
        <v>139</v>
      </c>
      <c r="N51" s="68">
        <f>B67*(30.97*2+16*5)/(30.97*2)</f>
        <v>0.2832383597029383</v>
      </c>
      <c r="P51" s="10" t="s">
        <v>139</v>
      </c>
      <c r="Q51" s="68">
        <f>N51/$B$12</f>
        <v>2.1956461992475838</v>
      </c>
      <c r="S51" s="368" t="s">
        <v>417</v>
      </c>
      <c r="T51" s="369">
        <f>Q52</f>
        <v>16.582910412544397</v>
      </c>
      <c r="U51" s="370">
        <f>Q52</f>
        <v>16.582910412544397</v>
      </c>
      <c r="AB51" s="37"/>
      <c r="AC51" s="37"/>
      <c r="AD51" s="37"/>
      <c r="AE51" s="37"/>
      <c r="AF51" s="37"/>
      <c r="AG51" s="37"/>
      <c r="AH51" s="37"/>
      <c r="AI51" s="37"/>
      <c r="AJ51" s="37"/>
    </row>
    <row r="52" spans="1:36" ht="15">
      <c r="A52" s="31" t="s">
        <v>126</v>
      </c>
      <c r="B52" s="133">
        <v>0.00146</v>
      </c>
      <c r="D52" s="10" t="s">
        <v>126</v>
      </c>
      <c r="E52" s="66">
        <f aca="true" t="shared" si="4" ref="E52:E73">B52*10^4</f>
        <v>14.6</v>
      </c>
      <c r="G52" s="10" t="s">
        <v>126</v>
      </c>
      <c r="H52" s="66">
        <f aca="true" t="shared" si="5" ref="H52:H74">E52/$B$12</f>
        <v>113.1782945736434</v>
      </c>
      <c r="J52" s="10" t="s">
        <v>126</v>
      </c>
      <c r="K52" s="99">
        <f aca="true" t="shared" si="6" ref="K52:K73">H52*10^(-4)</f>
        <v>0.01131782945736434</v>
      </c>
      <c r="M52" s="10" t="s">
        <v>140</v>
      </c>
      <c r="N52" s="68">
        <f>B70*(28.09+2*16)/28.09</f>
        <v>2.1391954432182274</v>
      </c>
      <c r="P52" s="10" t="s">
        <v>140</v>
      </c>
      <c r="Q52" s="68">
        <f aca="true" t="shared" si="7" ref="Q52:Q61">N52/$B$12</f>
        <v>16.582910412544397</v>
      </c>
      <c r="S52" s="368" t="s">
        <v>418</v>
      </c>
      <c r="T52" s="371"/>
      <c r="U52" s="370">
        <f>Q53</f>
        <v>3.9498873124507963</v>
      </c>
      <c r="AB52" s="37"/>
      <c r="AC52" s="37"/>
      <c r="AD52" s="37"/>
      <c r="AE52" s="37"/>
      <c r="AF52" s="37"/>
      <c r="AG52" s="37"/>
      <c r="AH52" s="37"/>
      <c r="AI52" s="37"/>
      <c r="AJ52" s="37"/>
    </row>
    <row r="53" spans="1:36" ht="15">
      <c r="A53" s="31" t="s">
        <v>49</v>
      </c>
      <c r="B53" s="133">
        <v>0.01168</v>
      </c>
      <c r="D53" s="10" t="s">
        <v>49</v>
      </c>
      <c r="E53" s="66">
        <f t="shared" si="4"/>
        <v>116.8</v>
      </c>
      <c r="G53" s="10" t="s">
        <v>49</v>
      </c>
      <c r="H53" s="66">
        <f t="shared" si="5"/>
        <v>905.4263565891472</v>
      </c>
      <c r="J53" s="10" t="s">
        <v>49</v>
      </c>
      <c r="K53" s="99">
        <f t="shared" si="6"/>
        <v>0.09054263565891472</v>
      </c>
      <c r="M53" s="10" t="s">
        <v>141</v>
      </c>
      <c r="N53" s="68">
        <f>B51*(2*26.98+3*16)/(26.98*2)</f>
        <v>0.5095354633061527</v>
      </c>
      <c r="P53" s="10" t="s">
        <v>141</v>
      </c>
      <c r="Q53" s="68">
        <f t="shared" si="7"/>
        <v>3.9498873124507963</v>
      </c>
      <c r="S53" s="368" t="s">
        <v>43</v>
      </c>
      <c r="T53" s="371"/>
      <c r="U53" s="370">
        <f>Q54</f>
        <v>10.846524006251064</v>
      </c>
      <c r="AB53" s="37"/>
      <c r="AC53" s="37"/>
      <c r="AD53" s="37"/>
      <c r="AE53" s="37"/>
      <c r="AF53" s="37"/>
      <c r="AG53" s="37"/>
      <c r="AH53" s="37"/>
      <c r="AI53" s="37"/>
      <c r="AJ53" s="37"/>
    </row>
    <row r="54" spans="1:36" ht="15">
      <c r="A54" s="31" t="s">
        <v>50</v>
      </c>
      <c r="B54" s="133">
        <v>1</v>
      </c>
      <c r="D54" s="10" t="s">
        <v>50</v>
      </c>
      <c r="E54" s="66">
        <f t="shared" si="4"/>
        <v>10000</v>
      </c>
      <c r="G54" s="10" t="s">
        <v>50</v>
      </c>
      <c r="H54" s="66">
        <f t="shared" si="5"/>
        <v>77519.37984496124</v>
      </c>
      <c r="J54" s="10" t="s">
        <v>50</v>
      </c>
      <c r="K54" s="99">
        <f t="shared" si="6"/>
        <v>7.7519379844961245</v>
      </c>
      <c r="M54" s="10" t="s">
        <v>43</v>
      </c>
      <c r="N54" s="68">
        <f>B54*(40.08+16)/40.08</f>
        <v>1.3992015968063873</v>
      </c>
      <c r="P54" s="10" t="s">
        <v>43</v>
      </c>
      <c r="Q54" s="68">
        <f t="shared" si="7"/>
        <v>10.846524006251064</v>
      </c>
      <c r="S54" s="368" t="s">
        <v>419</v>
      </c>
      <c r="T54" s="371"/>
      <c r="U54" s="370">
        <f>Q55</f>
        <v>12.951068962406222</v>
      </c>
      <c r="AB54" s="37"/>
      <c r="AC54" s="37"/>
      <c r="AD54" s="37"/>
      <c r="AE54" s="37"/>
      <c r="AF54" s="37"/>
      <c r="AG54" s="37"/>
      <c r="AH54" s="37"/>
      <c r="AI54" s="37"/>
      <c r="AJ54" s="37"/>
    </row>
    <row r="55" spans="1:36" ht="15">
      <c r="A55" s="31" t="s">
        <v>127</v>
      </c>
      <c r="B55" s="133">
        <v>6E-05</v>
      </c>
      <c r="D55" s="10" t="s">
        <v>127</v>
      </c>
      <c r="E55" s="66">
        <f t="shared" si="4"/>
        <v>0.6</v>
      </c>
      <c r="G55" s="10" t="s">
        <v>127</v>
      </c>
      <c r="H55" s="66">
        <f t="shared" si="5"/>
        <v>4.651162790697674</v>
      </c>
      <c r="J55" s="10" t="s">
        <v>127</v>
      </c>
      <c r="K55" s="99">
        <f t="shared" si="6"/>
        <v>0.0004651162790697674</v>
      </c>
      <c r="M55" s="10" t="s">
        <v>142</v>
      </c>
      <c r="N55" s="68">
        <f>B59*(55.85*2+16*3)/(55.85*2)</f>
        <v>1.6706878961504026</v>
      </c>
      <c r="P55" s="10" t="s">
        <v>142</v>
      </c>
      <c r="Q55" s="68">
        <f t="shared" si="7"/>
        <v>12.951068962406222</v>
      </c>
      <c r="S55" s="368" t="s">
        <v>420</v>
      </c>
      <c r="T55" s="371"/>
      <c r="U55" s="370">
        <f>Q61</f>
        <v>1.7837471004579792</v>
      </c>
      <c r="AB55" s="37"/>
      <c r="AC55" s="37"/>
      <c r="AD55" s="37"/>
      <c r="AE55" s="37"/>
      <c r="AF55" s="37"/>
      <c r="AG55" s="37"/>
      <c r="AH55" s="37"/>
      <c r="AI55" s="37"/>
      <c r="AJ55" s="37"/>
    </row>
    <row r="56" spans="1:36" ht="15">
      <c r="A56" s="31" t="s">
        <v>128</v>
      </c>
      <c r="B56" s="133">
        <v>0.00116</v>
      </c>
      <c r="D56" s="10" t="s">
        <v>128</v>
      </c>
      <c r="E56" s="66">
        <f t="shared" si="4"/>
        <v>11.6</v>
      </c>
      <c r="G56" s="10" t="s">
        <v>128</v>
      </c>
      <c r="H56" s="66">
        <f t="shared" si="5"/>
        <v>89.92248062015503</v>
      </c>
      <c r="J56" s="10" t="s">
        <v>128</v>
      </c>
      <c r="K56" s="99">
        <f t="shared" si="6"/>
        <v>0.008992248062015503</v>
      </c>
      <c r="M56" s="10" t="s">
        <v>143</v>
      </c>
      <c r="N56" s="68">
        <f>B71*(47.88+2*16)/47.88</f>
        <v>0.07647659147869673</v>
      </c>
      <c r="P56" s="10" t="s">
        <v>143</v>
      </c>
      <c r="Q56" s="68">
        <f t="shared" si="7"/>
        <v>0.5928417944085018</v>
      </c>
      <c r="S56" s="368" t="s">
        <v>44</v>
      </c>
      <c r="T56" s="371"/>
      <c r="U56" s="370">
        <f>Q58</f>
        <v>3.7551661197899233</v>
      </c>
      <c r="AB56" s="37"/>
      <c r="AC56" s="37"/>
      <c r="AD56" s="37"/>
      <c r="AE56" s="37"/>
      <c r="AF56" s="37"/>
      <c r="AG56" s="37"/>
      <c r="AH56" s="37"/>
      <c r="AI56" s="37"/>
      <c r="AJ56" s="37"/>
    </row>
    <row r="57" spans="1:36" ht="15">
      <c r="A57" s="31" t="s">
        <v>129</v>
      </c>
      <c r="B57" s="133">
        <v>0.013480000000000002</v>
      </c>
      <c r="D57" s="10" t="s">
        <v>129</v>
      </c>
      <c r="E57" s="66">
        <f t="shared" si="4"/>
        <v>134.8</v>
      </c>
      <c r="G57" s="10" t="s">
        <v>129</v>
      </c>
      <c r="H57" s="66">
        <f t="shared" si="5"/>
        <v>1044.9612403100775</v>
      </c>
      <c r="J57" s="10" t="s">
        <v>129</v>
      </c>
      <c r="K57" s="99">
        <f t="shared" si="6"/>
        <v>0.10449612403100776</v>
      </c>
      <c r="M57" s="10" t="s">
        <v>192</v>
      </c>
      <c r="N57" s="68">
        <f>B63*(54.94+16)/54.94</f>
        <v>0.3873680378594831</v>
      </c>
      <c r="P57" s="10" t="s">
        <v>192</v>
      </c>
      <c r="Q57" s="68">
        <f t="shared" si="7"/>
        <v>3.0028530066626598</v>
      </c>
      <c r="S57" s="368" t="s">
        <v>421</v>
      </c>
      <c r="T57" s="371"/>
      <c r="U57" s="370">
        <f>Q64</f>
        <v>3.6801246179764813</v>
      </c>
      <c r="AB57" s="37"/>
      <c r="AC57" s="37"/>
      <c r="AD57" s="37"/>
      <c r="AE57" s="37"/>
      <c r="AF57" s="37"/>
      <c r="AG57" s="37"/>
      <c r="AH57" s="37"/>
      <c r="AI57" s="37"/>
      <c r="AJ57" s="37"/>
    </row>
    <row r="58" spans="1:36" ht="15">
      <c r="A58" s="31" t="s">
        <v>130</v>
      </c>
      <c r="B58" s="133">
        <v>0.019780000000000002</v>
      </c>
      <c r="D58" s="10" t="s">
        <v>130</v>
      </c>
      <c r="E58" s="66">
        <f t="shared" si="4"/>
        <v>197.8</v>
      </c>
      <c r="G58" s="10" t="s">
        <v>130</v>
      </c>
      <c r="H58" s="66">
        <f t="shared" si="5"/>
        <v>1533.3333333333335</v>
      </c>
      <c r="J58" s="10" t="s">
        <v>130</v>
      </c>
      <c r="K58" s="99">
        <f t="shared" si="6"/>
        <v>0.15333333333333335</v>
      </c>
      <c r="M58" s="10" t="s">
        <v>44</v>
      </c>
      <c r="N58" s="68">
        <f>B62*(24.31+16)/24.31</f>
        <v>0.48441642945290014</v>
      </c>
      <c r="P58" s="10" t="s">
        <v>44</v>
      </c>
      <c r="Q58" s="68">
        <f t="shared" si="7"/>
        <v>3.7551661197899233</v>
      </c>
      <c r="S58" s="368" t="s">
        <v>422</v>
      </c>
      <c r="T58" s="371"/>
      <c r="U58" s="370">
        <f>Q60</f>
        <v>1.1740987486976135</v>
      </c>
      <c r="AB58" s="37"/>
      <c r="AC58" s="37"/>
      <c r="AD58" s="37"/>
      <c r="AE58" s="37"/>
      <c r="AF58" s="37"/>
      <c r="AG58" s="37"/>
      <c r="AH58" s="37"/>
      <c r="AI58" s="37"/>
      <c r="AJ58" s="37"/>
    </row>
    <row r="59" spans="1:36" ht="15">
      <c r="A59" s="31" t="s">
        <v>51</v>
      </c>
      <c r="B59" s="133">
        <v>1.16854</v>
      </c>
      <c r="D59" s="10" t="s">
        <v>51</v>
      </c>
      <c r="E59" s="66">
        <f t="shared" si="4"/>
        <v>11685.4</v>
      </c>
      <c r="G59" s="10" t="s">
        <v>51</v>
      </c>
      <c r="H59" s="66">
        <f t="shared" si="5"/>
        <v>90584.49612403101</v>
      </c>
      <c r="J59" s="10" t="s">
        <v>51</v>
      </c>
      <c r="K59" s="99">
        <f t="shared" si="6"/>
        <v>9.058449612403102</v>
      </c>
      <c r="M59" s="10" t="s">
        <v>45</v>
      </c>
      <c r="N59" s="68">
        <f>B53*(137.3+16)/137.3</f>
        <v>0.01304110706482156</v>
      </c>
      <c r="P59" s="10" t="s">
        <v>45</v>
      </c>
      <c r="Q59" s="68">
        <f t="shared" si="7"/>
        <v>0.101093853215671</v>
      </c>
      <c r="S59" s="368" t="s">
        <v>423</v>
      </c>
      <c r="T59" s="371"/>
      <c r="U59" s="370">
        <f>Q51</f>
        <v>2.1956461992475838</v>
      </c>
      <c r="AB59" s="37"/>
      <c r="AC59" s="37"/>
      <c r="AD59" s="37"/>
      <c r="AE59" s="37"/>
      <c r="AF59" s="37"/>
      <c r="AG59" s="37"/>
      <c r="AH59" s="37"/>
      <c r="AI59" s="37"/>
      <c r="AJ59" s="37"/>
    </row>
    <row r="60" spans="1:36" ht="15.75" thickBot="1">
      <c r="A60" s="31" t="s">
        <v>131</v>
      </c>
      <c r="B60" s="133">
        <v>2E-05</v>
      </c>
      <c r="D60" s="10" t="s">
        <v>131</v>
      </c>
      <c r="E60" s="66">
        <f t="shared" si="4"/>
        <v>0.2</v>
      </c>
      <c r="G60" s="10" t="s">
        <v>131</v>
      </c>
      <c r="H60" s="66">
        <f t="shared" si="5"/>
        <v>1.550387596899225</v>
      </c>
      <c r="J60" s="10" t="s">
        <v>131</v>
      </c>
      <c r="K60" s="99">
        <f t="shared" si="6"/>
        <v>0.0001550387596899225</v>
      </c>
      <c r="M60" s="10" t="s">
        <v>145</v>
      </c>
      <c r="N60" s="68">
        <f>B65*(22.99*2+16)/(2*22.99)</f>
        <v>0.15145873858199216</v>
      </c>
      <c r="P60" s="10" t="s">
        <v>145</v>
      </c>
      <c r="Q60" s="68">
        <f t="shared" si="7"/>
        <v>1.1740987486976135</v>
      </c>
      <c r="S60" s="372" t="s">
        <v>424</v>
      </c>
      <c r="T60" s="373"/>
      <c r="U60" s="374">
        <f>Q56</f>
        <v>0.5928417944085018</v>
      </c>
      <c r="AB60" s="37"/>
      <c r="AC60" s="37"/>
      <c r="AD60" s="37"/>
      <c r="AE60" s="37"/>
      <c r="AF60" s="37"/>
      <c r="AG60" s="37"/>
      <c r="AH60" s="37"/>
      <c r="AI60" s="37"/>
      <c r="AJ60" s="37"/>
    </row>
    <row r="61" spans="1:36" ht="15">
      <c r="A61" s="31" t="s">
        <v>52</v>
      </c>
      <c r="B61" s="133">
        <v>0.19102000000000002</v>
      </c>
      <c r="D61" s="10" t="s">
        <v>52</v>
      </c>
      <c r="E61" s="66">
        <f t="shared" si="4"/>
        <v>1910.2000000000003</v>
      </c>
      <c r="G61" s="10" t="s">
        <v>52</v>
      </c>
      <c r="H61" s="66">
        <f t="shared" si="5"/>
        <v>14807.751937984498</v>
      </c>
      <c r="J61" s="10" t="s">
        <v>52</v>
      </c>
      <c r="K61" s="99">
        <f t="shared" si="6"/>
        <v>1.48077519379845</v>
      </c>
      <c r="M61" s="12" t="s">
        <v>146</v>
      </c>
      <c r="N61" s="69">
        <f>B61*(39.1*2+16)/(39.1*2)</f>
        <v>0.23010337595907934</v>
      </c>
      <c r="P61" s="12" t="s">
        <v>146</v>
      </c>
      <c r="Q61" s="69">
        <f t="shared" si="7"/>
        <v>1.7837471004579792</v>
      </c>
      <c r="AB61" s="37"/>
      <c r="AC61" s="37"/>
      <c r="AD61" s="37"/>
      <c r="AE61" s="37"/>
      <c r="AF61" s="37"/>
      <c r="AG61" s="37"/>
      <c r="AH61" s="37"/>
      <c r="AI61" s="37"/>
      <c r="AJ61" s="37"/>
    </row>
    <row r="62" spans="1:36" ht="12.75">
      <c r="A62" s="31" t="s">
        <v>53</v>
      </c>
      <c r="B62" s="133">
        <v>0.29214</v>
      </c>
      <c r="D62" s="10" t="s">
        <v>53</v>
      </c>
      <c r="E62" s="66">
        <f t="shared" si="4"/>
        <v>2921.4</v>
      </c>
      <c r="G62" s="10" t="s">
        <v>53</v>
      </c>
      <c r="H62" s="66">
        <f t="shared" si="5"/>
        <v>22646.511627906977</v>
      </c>
      <c r="J62" s="10" t="s">
        <v>53</v>
      </c>
      <c r="K62" s="99">
        <f t="shared" si="6"/>
        <v>2.264651162790698</v>
      </c>
      <c r="M62" s="37"/>
      <c r="N62" s="37"/>
      <c r="P62" s="37"/>
      <c r="Q62" s="37"/>
      <c r="R62" s="70"/>
      <c r="AB62" s="37"/>
      <c r="AC62" s="37"/>
      <c r="AD62" s="37"/>
      <c r="AE62" s="37"/>
      <c r="AF62" s="37"/>
      <c r="AG62" s="37"/>
      <c r="AH62" s="37"/>
      <c r="AI62" s="37"/>
      <c r="AJ62" s="37"/>
    </row>
    <row r="63" spans="1:36" ht="12.75">
      <c r="A63" s="31" t="s">
        <v>54</v>
      </c>
      <c r="B63" s="133">
        <v>0.3</v>
      </c>
      <c r="D63" s="10" t="s">
        <v>54</v>
      </c>
      <c r="E63" s="66">
        <f t="shared" si="4"/>
        <v>3000</v>
      </c>
      <c r="G63" s="10" t="s">
        <v>54</v>
      </c>
      <c r="H63" s="66">
        <f t="shared" si="5"/>
        <v>23255.81395348837</v>
      </c>
      <c r="J63" s="10" t="s">
        <v>54</v>
      </c>
      <c r="K63" s="99">
        <f t="shared" si="6"/>
        <v>2.3255813953488373</v>
      </c>
      <c r="M63" s="76" t="s">
        <v>216</v>
      </c>
      <c r="N63" s="37"/>
      <c r="P63" s="37"/>
      <c r="Q63" s="37"/>
      <c r="R63" s="70"/>
      <c r="AB63" s="37"/>
      <c r="AC63" s="37"/>
      <c r="AD63" s="37"/>
      <c r="AE63" s="37"/>
      <c r="AF63" s="37"/>
      <c r="AG63" s="37"/>
      <c r="AH63" s="37"/>
      <c r="AI63" s="37"/>
      <c r="AJ63" s="37"/>
    </row>
    <row r="64" spans="1:36" ht="15">
      <c r="A64" s="31" t="s">
        <v>132</v>
      </c>
      <c r="B64" s="133">
        <v>4E-05</v>
      </c>
      <c r="D64" s="10" t="s">
        <v>132</v>
      </c>
      <c r="E64" s="66">
        <f t="shared" si="4"/>
        <v>0.4</v>
      </c>
      <c r="G64" s="10" t="s">
        <v>132</v>
      </c>
      <c r="H64" s="66">
        <f t="shared" si="5"/>
        <v>3.10077519379845</v>
      </c>
      <c r="J64" s="10" t="s">
        <v>132</v>
      </c>
      <c r="K64" s="99">
        <f t="shared" si="6"/>
        <v>0.000310077519379845</v>
      </c>
      <c r="M64" s="224" t="s">
        <v>144</v>
      </c>
      <c r="N64" s="225">
        <f>B63*(54.94+2*16)/54.94</f>
        <v>0.4747360757189661</v>
      </c>
      <c r="P64" s="224" t="s">
        <v>144</v>
      </c>
      <c r="Q64" s="225">
        <f>N64/$B$12</f>
        <v>3.6801246179764813</v>
      </c>
      <c r="R64" s="70"/>
      <c r="AB64" s="37"/>
      <c r="AC64" s="37"/>
      <c r="AD64" s="37"/>
      <c r="AE64" s="37"/>
      <c r="AF64" s="37"/>
      <c r="AG64" s="37"/>
      <c r="AH64" s="37"/>
      <c r="AI64" s="37"/>
      <c r="AJ64" s="37"/>
    </row>
    <row r="65" spans="1:36" ht="12.75">
      <c r="A65" s="31" t="s">
        <v>55</v>
      </c>
      <c r="B65" s="133">
        <v>0.11236</v>
      </c>
      <c r="D65" s="10" t="s">
        <v>55</v>
      </c>
      <c r="E65" s="66">
        <f t="shared" si="4"/>
        <v>1123.6</v>
      </c>
      <c r="G65" s="10" t="s">
        <v>55</v>
      </c>
      <c r="H65" s="66">
        <f t="shared" si="5"/>
        <v>8710.077519379844</v>
      </c>
      <c r="J65" s="10" t="s">
        <v>55</v>
      </c>
      <c r="K65" s="99">
        <f t="shared" si="6"/>
        <v>0.8710077519379844</v>
      </c>
      <c r="M65" s="37"/>
      <c r="N65" s="37"/>
      <c r="P65" s="37"/>
      <c r="Q65" s="37"/>
      <c r="AB65" s="37"/>
      <c r="AC65" s="37"/>
      <c r="AD65" s="37"/>
      <c r="AE65" s="37"/>
      <c r="AF65" s="37"/>
      <c r="AG65" s="37"/>
      <c r="AH65" s="37"/>
      <c r="AI65" s="37"/>
      <c r="AJ65" s="37"/>
    </row>
    <row r="66" spans="1:11" s="37" customFormat="1" ht="12.75">
      <c r="A66" s="31" t="s">
        <v>133</v>
      </c>
      <c r="B66" s="133">
        <v>0.00988</v>
      </c>
      <c r="D66" s="10" t="s">
        <v>133</v>
      </c>
      <c r="E66" s="66">
        <f t="shared" si="4"/>
        <v>98.8</v>
      </c>
      <c r="G66" s="10" t="s">
        <v>133</v>
      </c>
      <c r="H66" s="66">
        <f t="shared" si="5"/>
        <v>765.891472868217</v>
      </c>
      <c r="J66" s="10" t="s">
        <v>133</v>
      </c>
      <c r="K66" s="99">
        <f t="shared" si="6"/>
        <v>0.0765891472868217</v>
      </c>
    </row>
    <row r="67" spans="1:11" s="37" customFormat="1" ht="12.75">
      <c r="A67" s="31" t="s">
        <v>56</v>
      </c>
      <c r="B67" s="133">
        <v>0.1236</v>
      </c>
      <c r="D67" s="10" t="s">
        <v>56</v>
      </c>
      <c r="E67" s="66">
        <f t="shared" si="4"/>
        <v>1236</v>
      </c>
      <c r="G67" s="10" t="s">
        <v>56</v>
      </c>
      <c r="H67" s="66">
        <f t="shared" si="5"/>
        <v>9581.39534883721</v>
      </c>
      <c r="J67" s="10" t="s">
        <v>56</v>
      </c>
      <c r="K67" s="99">
        <f t="shared" si="6"/>
        <v>0.9581395348837211</v>
      </c>
    </row>
    <row r="68" spans="1:11" s="37" customFormat="1" ht="12.75">
      <c r="A68" s="31" t="s">
        <v>134</v>
      </c>
      <c r="B68" s="133">
        <v>0.00786</v>
      </c>
      <c r="D68" s="10" t="s">
        <v>134</v>
      </c>
      <c r="E68" s="66">
        <f t="shared" si="4"/>
        <v>78.60000000000001</v>
      </c>
      <c r="G68" s="10" t="s">
        <v>134</v>
      </c>
      <c r="H68" s="66">
        <f t="shared" si="5"/>
        <v>609.3023255813954</v>
      </c>
      <c r="J68" s="10" t="s">
        <v>134</v>
      </c>
      <c r="K68" s="99">
        <f t="shared" si="6"/>
        <v>0.06093023255813954</v>
      </c>
    </row>
    <row r="69" spans="1:36" s="37" customFormat="1" ht="12.75">
      <c r="A69" s="31" t="s">
        <v>135</v>
      </c>
      <c r="B69" s="133">
        <v>0.00048</v>
      </c>
      <c r="D69" s="10" t="s">
        <v>135</v>
      </c>
      <c r="E69" s="66">
        <f t="shared" si="4"/>
        <v>4.8</v>
      </c>
      <c r="F69" s="70"/>
      <c r="G69" s="10" t="s">
        <v>135</v>
      </c>
      <c r="H69" s="66">
        <f t="shared" si="5"/>
        <v>37.20930232558139</v>
      </c>
      <c r="I69" s="70"/>
      <c r="J69" s="10" t="s">
        <v>135</v>
      </c>
      <c r="K69" s="99">
        <f t="shared" si="6"/>
        <v>0.0037209302325581393</v>
      </c>
      <c r="L69" s="70"/>
      <c r="O69" s="70"/>
      <c r="AB69"/>
      <c r="AC69"/>
      <c r="AD69"/>
      <c r="AE69"/>
      <c r="AF69"/>
      <c r="AG69"/>
      <c r="AH69"/>
      <c r="AI69"/>
      <c r="AJ69"/>
    </row>
    <row r="70" spans="1:36" s="37" customFormat="1" ht="12.75">
      <c r="A70" s="31" t="s">
        <v>57</v>
      </c>
      <c r="B70" s="133">
        <v>1</v>
      </c>
      <c r="D70" s="10" t="s">
        <v>57</v>
      </c>
      <c r="E70" s="66">
        <f t="shared" si="4"/>
        <v>10000</v>
      </c>
      <c r="F70" s="70"/>
      <c r="G70" s="10" t="s">
        <v>57</v>
      </c>
      <c r="H70" s="66">
        <f t="shared" si="5"/>
        <v>77519.37984496124</v>
      </c>
      <c r="I70" s="70"/>
      <c r="J70" s="10" t="s">
        <v>57</v>
      </c>
      <c r="K70" s="99">
        <f t="shared" si="6"/>
        <v>7.7519379844961245</v>
      </c>
      <c r="L70" s="70"/>
      <c r="O70" s="70"/>
      <c r="AB70"/>
      <c r="AC70"/>
      <c r="AD70"/>
      <c r="AE70"/>
      <c r="AF70"/>
      <c r="AG70"/>
      <c r="AH70"/>
      <c r="AI70"/>
      <c r="AJ70"/>
    </row>
    <row r="71" spans="1:36" s="37" customFormat="1" ht="12.75">
      <c r="A71" s="31" t="s">
        <v>58</v>
      </c>
      <c r="B71" s="133">
        <v>0.04584</v>
      </c>
      <c r="D71" s="10" t="s">
        <v>58</v>
      </c>
      <c r="E71" s="66">
        <f t="shared" si="4"/>
        <v>458.4</v>
      </c>
      <c r="F71" s="70"/>
      <c r="G71" s="10" t="s">
        <v>58</v>
      </c>
      <c r="H71" s="66">
        <f t="shared" si="5"/>
        <v>3553.488372093023</v>
      </c>
      <c r="I71" s="70"/>
      <c r="J71" s="10" t="s">
        <v>58</v>
      </c>
      <c r="K71" s="99">
        <f t="shared" si="6"/>
        <v>0.3553488372093023</v>
      </c>
      <c r="L71" s="70"/>
      <c r="O71" s="70"/>
      <c r="AB71"/>
      <c r="AC71"/>
      <c r="AD71"/>
      <c r="AE71"/>
      <c r="AF71"/>
      <c r="AG71"/>
      <c r="AH71"/>
      <c r="AI71"/>
      <c r="AJ71"/>
    </row>
    <row r="72" spans="1:36" s="37" customFormat="1" ht="12.75">
      <c r="A72" s="31" t="s">
        <v>136</v>
      </c>
      <c r="B72" s="133">
        <v>4E-05</v>
      </c>
      <c r="D72" s="10" t="s">
        <v>136</v>
      </c>
      <c r="E72" s="66">
        <f t="shared" si="4"/>
        <v>0.4</v>
      </c>
      <c r="F72" s="70"/>
      <c r="G72" s="10" t="s">
        <v>136</v>
      </c>
      <c r="H72" s="66">
        <f t="shared" si="5"/>
        <v>3.10077519379845</v>
      </c>
      <c r="I72" s="70"/>
      <c r="J72" s="10" t="s">
        <v>136</v>
      </c>
      <c r="K72" s="99">
        <f t="shared" si="6"/>
        <v>0.000310077519379845</v>
      </c>
      <c r="L72" s="70"/>
      <c r="O72" s="70"/>
      <c r="AB72"/>
      <c r="AC72"/>
      <c r="AD72"/>
      <c r="AE72"/>
      <c r="AF72"/>
      <c r="AG72"/>
      <c r="AH72"/>
      <c r="AI72"/>
      <c r="AJ72"/>
    </row>
    <row r="73" spans="1:36" s="37" customFormat="1" ht="12.75">
      <c r="A73" s="31" t="s">
        <v>137</v>
      </c>
      <c r="B73" s="133">
        <v>0.00056</v>
      </c>
      <c r="D73" s="10" t="s">
        <v>137</v>
      </c>
      <c r="E73" s="66">
        <f t="shared" si="4"/>
        <v>5.6</v>
      </c>
      <c r="F73" s="70"/>
      <c r="G73" s="10" t="s">
        <v>137</v>
      </c>
      <c r="H73" s="66">
        <f t="shared" si="5"/>
        <v>43.41085271317829</v>
      </c>
      <c r="I73" s="70"/>
      <c r="J73" s="10" t="s">
        <v>137</v>
      </c>
      <c r="K73" s="99">
        <f t="shared" si="6"/>
        <v>0.00434108527131783</v>
      </c>
      <c r="L73" s="70"/>
      <c r="O73" s="70"/>
      <c r="AB73"/>
      <c r="AC73"/>
      <c r="AD73"/>
      <c r="AE73"/>
      <c r="AF73"/>
      <c r="AG73"/>
      <c r="AH73"/>
      <c r="AI73"/>
      <c r="AJ73"/>
    </row>
    <row r="74" spans="1:36" s="37" customFormat="1" ht="12.75">
      <c r="A74" s="23" t="s">
        <v>138</v>
      </c>
      <c r="B74" s="173">
        <v>0.0427</v>
      </c>
      <c r="D74" s="12" t="s">
        <v>138</v>
      </c>
      <c r="E74" s="67">
        <f>B74*10^4</f>
        <v>427</v>
      </c>
      <c r="F74" s="70"/>
      <c r="G74" s="12" t="s">
        <v>138</v>
      </c>
      <c r="H74" s="67">
        <f t="shared" si="5"/>
        <v>3310.077519379845</v>
      </c>
      <c r="I74" s="70"/>
      <c r="J74" s="12" t="s">
        <v>138</v>
      </c>
      <c r="K74" s="124">
        <f>H74*10^(-4)</f>
        <v>0.3310077519379845</v>
      </c>
      <c r="L74" s="70"/>
      <c r="O74" s="70"/>
      <c r="AB74"/>
      <c r="AC74"/>
      <c r="AD74"/>
      <c r="AE74"/>
      <c r="AF74"/>
      <c r="AG74"/>
      <c r="AH74"/>
      <c r="AI74"/>
      <c r="AJ74"/>
    </row>
    <row r="75" spans="28:36" s="37" customFormat="1" ht="12.75">
      <c r="AB75"/>
      <c r="AC75"/>
      <c r="AD75"/>
      <c r="AE75"/>
      <c r="AF75"/>
      <c r="AG75"/>
      <c r="AH75"/>
      <c r="AI75"/>
      <c r="AJ75"/>
    </row>
    <row r="76" spans="1:36" s="37" customFormat="1" ht="15.75">
      <c r="A76" s="40" t="s">
        <v>188</v>
      </c>
      <c r="AB76"/>
      <c r="AC76"/>
      <c r="AD76"/>
      <c r="AE76"/>
      <c r="AF76"/>
      <c r="AG76"/>
      <c r="AH76"/>
      <c r="AI76"/>
      <c r="AJ76"/>
    </row>
    <row r="77" spans="13:36" s="37" customFormat="1" ht="13.5" thickBot="1">
      <c r="M77" s="70"/>
      <c r="N77" s="70"/>
      <c r="O77" s="70"/>
      <c r="P77" s="70"/>
      <c r="Q77" s="70"/>
      <c r="R77" s="70"/>
      <c r="AB77"/>
      <c r="AC77"/>
      <c r="AD77"/>
      <c r="AE77"/>
      <c r="AF77"/>
      <c r="AG77"/>
      <c r="AH77"/>
      <c r="AI77"/>
      <c r="AJ77"/>
    </row>
    <row r="78" spans="1:36" s="37" customFormat="1" ht="15">
      <c r="A78" s="14" t="s">
        <v>13</v>
      </c>
      <c r="B78" s="16"/>
      <c r="C78" s="70"/>
      <c r="D78" s="63" t="s">
        <v>6</v>
      </c>
      <c r="E78" s="64"/>
      <c r="F78" s="70"/>
      <c r="G78" s="63" t="s">
        <v>6</v>
      </c>
      <c r="H78" s="64"/>
      <c r="J78" s="63" t="s">
        <v>6</v>
      </c>
      <c r="K78" s="64"/>
      <c r="L78" s="70"/>
      <c r="M78" s="63" t="s">
        <v>6</v>
      </c>
      <c r="N78" s="64"/>
      <c r="O78" s="70"/>
      <c r="P78" s="63" t="s">
        <v>6</v>
      </c>
      <c r="Q78" s="64"/>
      <c r="R78" s="70"/>
      <c r="S78" s="363" t="s">
        <v>455</v>
      </c>
      <c r="T78" s="364"/>
      <c r="U78" s="365"/>
      <c r="AB78"/>
      <c r="AC78"/>
      <c r="AD78"/>
      <c r="AE78"/>
      <c r="AF78"/>
      <c r="AG78"/>
      <c r="AH78"/>
      <c r="AI78"/>
      <c r="AJ78"/>
    </row>
    <row r="79" spans="1:36" s="37" customFormat="1" ht="15">
      <c r="A79" s="20" t="s">
        <v>66</v>
      </c>
      <c r="B79" s="19"/>
      <c r="C79" s="70"/>
      <c r="D79" s="258" t="str">
        <f>IF(SUM($B$81:$B$92)&gt;($B$12*100),"Orimlig summa!"," ")</f>
        <v> </v>
      </c>
      <c r="E79" s="65"/>
      <c r="F79" s="70"/>
      <c r="G79" s="258" t="str">
        <f>IF(SUM($B$81:$B$92)&gt;($B$12*100),"Orimlig summa!"," ")</f>
        <v> </v>
      </c>
      <c r="H79" s="65"/>
      <c r="J79" s="258" t="str">
        <f>IF(SUM($B$81:$B$92)&gt;($B$12*100),"Orimlig summa!"," ")</f>
        <v> </v>
      </c>
      <c r="K79" s="65"/>
      <c r="L79" s="70"/>
      <c r="M79" s="258" t="str">
        <f>IF(SUM($B$81:$B$92)&gt;($B$12*100),"Orimlig summa!"," ")</f>
        <v> </v>
      </c>
      <c r="N79" s="65"/>
      <c r="O79" s="70"/>
      <c r="P79" s="258" t="str">
        <f>IF(SUM($B$81:$B$92)&gt;($B$12*100),"Orimlig summa!"," ")</f>
        <v> </v>
      </c>
      <c r="Q79" s="65"/>
      <c r="R79" s="70"/>
      <c r="S79" s="375" t="s">
        <v>454</v>
      </c>
      <c r="T79" s="362"/>
      <c r="U79" s="366"/>
      <c r="AB79"/>
      <c r="AC79"/>
      <c r="AD79"/>
      <c r="AE79"/>
      <c r="AF79"/>
      <c r="AG79"/>
      <c r="AH79"/>
      <c r="AI79"/>
      <c r="AJ79"/>
    </row>
    <row r="80" spans="1:36" s="37" customFormat="1" ht="12.75">
      <c r="A80" s="20" t="s">
        <v>86</v>
      </c>
      <c r="B80" s="19"/>
      <c r="C80" s="70"/>
      <c r="D80" s="9" t="s">
        <v>85</v>
      </c>
      <c r="E80" s="65"/>
      <c r="F80" s="70"/>
      <c r="G80" s="9" t="s">
        <v>86</v>
      </c>
      <c r="H80" s="65"/>
      <c r="J80" s="9" t="s">
        <v>59</v>
      </c>
      <c r="K80" s="65"/>
      <c r="L80" s="70"/>
      <c r="M80" s="9" t="s">
        <v>47</v>
      </c>
      <c r="N80" s="65"/>
      <c r="O80" s="70"/>
      <c r="P80" s="9" t="s">
        <v>47</v>
      </c>
      <c r="Q80" s="65"/>
      <c r="R80" s="70"/>
      <c r="S80" s="367" t="s">
        <v>47</v>
      </c>
      <c r="T80" s="362"/>
      <c r="U80" s="366"/>
      <c r="AB80"/>
      <c r="AC80"/>
      <c r="AD80"/>
      <c r="AE80"/>
      <c r="AF80"/>
      <c r="AG80"/>
      <c r="AH80"/>
      <c r="AI80"/>
      <c r="AJ80"/>
    </row>
    <row r="81" spans="1:36" s="37" customFormat="1" ht="15">
      <c r="A81" s="31" t="s">
        <v>139</v>
      </c>
      <c r="B81" s="130">
        <v>0.0871</v>
      </c>
      <c r="C81" s="76"/>
      <c r="D81" s="10" t="s">
        <v>48</v>
      </c>
      <c r="E81" s="66">
        <f>(B83*2*26.98/(2*26.98+3*16))*10^4</f>
        <v>1291.314240878776</v>
      </c>
      <c r="F81" s="120"/>
      <c r="G81" s="10" t="s">
        <v>48</v>
      </c>
      <c r="H81" s="99">
        <f>E81*10^(-4)</f>
        <v>0.12913142408787762</v>
      </c>
      <c r="J81" s="10" t="s">
        <v>48</v>
      </c>
      <c r="K81" s="66">
        <f aca="true" t="shared" si="8" ref="K81:K92">E81/$B$12</f>
        <v>10010.187913788961</v>
      </c>
      <c r="L81" s="122"/>
      <c r="M81" s="10" t="s">
        <v>48</v>
      </c>
      <c r="N81" s="99">
        <f>K81*10^(-4)</f>
        <v>1.0010187913788962</v>
      </c>
      <c r="O81" s="120"/>
      <c r="P81" s="10" t="s">
        <v>139</v>
      </c>
      <c r="Q81" s="68">
        <f aca="true" t="shared" si="9" ref="Q81:Q91">B81/$B$12</f>
        <v>0.6751937984496124</v>
      </c>
      <c r="R81" s="70"/>
      <c r="S81" s="368" t="s">
        <v>417</v>
      </c>
      <c r="T81" s="369">
        <f>Q82</f>
        <v>10.232558139534884</v>
      </c>
      <c r="U81" s="370">
        <f>Q82</f>
        <v>10.232558139534884</v>
      </c>
      <c r="AB81"/>
      <c r="AC81"/>
      <c r="AD81"/>
      <c r="AE81"/>
      <c r="AF81"/>
      <c r="AG81"/>
      <c r="AH81"/>
      <c r="AI81"/>
      <c r="AJ81"/>
    </row>
    <row r="82" spans="1:21" ht="15">
      <c r="A82" s="31" t="s">
        <v>140</v>
      </c>
      <c r="B82" s="130">
        <v>1.32</v>
      </c>
      <c r="D82" s="10" t="s">
        <v>49</v>
      </c>
      <c r="E82" s="66">
        <f>(B90*137.3/(137.3+16))*10^4</f>
        <v>0</v>
      </c>
      <c r="F82" s="120"/>
      <c r="G82" s="10" t="s">
        <v>49</v>
      </c>
      <c r="H82" s="99">
        <f aca="true" t="shared" si="10" ref="H82:H87">E82*10^(-4)</f>
        <v>0</v>
      </c>
      <c r="J82" s="10" t="s">
        <v>49</v>
      </c>
      <c r="K82" s="66">
        <f t="shared" si="8"/>
        <v>0</v>
      </c>
      <c r="L82" s="122"/>
      <c r="M82" s="10" t="s">
        <v>49</v>
      </c>
      <c r="N82" s="99">
        <f aca="true" t="shared" si="11" ref="N82:N92">K82*10^(-4)</f>
        <v>0</v>
      </c>
      <c r="O82" s="120"/>
      <c r="P82" s="10" t="s">
        <v>140</v>
      </c>
      <c r="Q82" s="68">
        <f t="shared" si="9"/>
        <v>10.232558139534884</v>
      </c>
      <c r="R82" s="70"/>
      <c r="S82" s="368" t="s">
        <v>418</v>
      </c>
      <c r="T82" s="371"/>
      <c r="U82" s="370">
        <f>Q83</f>
        <v>1.891472868217054</v>
      </c>
    </row>
    <row r="83" spans="1:21" ht="15">
      <c r="A83" s="31" t="s">
        <v>141</v>
      </c>
      <c r="B83" s="130">
        <v>0.244</v>
      </c>
      <c r="D83" s="10" t="s">
        <v>50</v>
      </c>
      <c r="E83" s="66">
        <f>(B84*40.08/(40.08+16))*10^4</f>
        <v>5152.938659058488</v>
      </c>
      <c r="F83" s="120"/>
      <c r="G83" s="10" t="s">
        <v>50</v>
      </c>
      <c r="H83" s="99">
        <f t="shared" si="10"/>
        <v>0.5152938659058488</v>
      </c>
      <c r="J83" s="10" t="s">
        <v>50</v>
      </c>
      <c r="K83" s="66">
        <f t="shared" si="8"/>
        <v>39945.260922934016</v>
      </c>
      <c r="L83" s="122"/>
      <c r="M83" s="10" t="s">
        <v>50</v>
      </c>
      <c r="N83" s="99">
        <f t="shared" si="11"/>
        <v>3.994526092293402</v>
      </c>
      <c r="O83" s="120"/>
      <c r="P83" s="10" t="s">
        <v>141</v>
      </c>
      <c r="Q83" s="68">
        <f t="shared" si="9"/>
        <v>1.891472868217054</v>
      </c>
      <c r="R83" s="70"/>
      <c r="S83" s="368" t="s">
        <v>43</v>
      </c>
      <c r="T83" s="371"/>
      <c r="U83" s="370">
        <f>Q84</f>
        <v>5.589147286821705</v>
      </c>
    </row>
    <row r="84" spans="1:21" ht="15">
      <c r="A84" s="31" t="s">
        <v>43</v>
      </c>
      <c r="B84" s="130">
        <v>0.721</v>
      </c>
      <c r="D84" s="10" t="s">
        <v>51</v>
      </c>
      <c r="E84" s="66">
        <f>(B85*55.85*2/(55.85*2+3*16))*10^4</f>
        <v>665.8634940513464</v>
      </c>
      <c r="F84" s="120"/>
      <c r="G84" s="10" t="s">
        <v>51</v>
      </c>
      <c r="H84" s="99">
        <f t="shared" si="10"/>
        <v>0.06658634940513464</v>
      </c>
      <c r="J84" s="10" t="s">
        <v>51</v>
      </c>
      <c r="K84" s="66">
        <f t="shared" si="8"/>
        <v>5161.732512025941</v>
      </c>
      <c r="L84" s="122"/>
      <c r="M84" s="10" t="s">
        <v>51</v>
      </c>
      <c r="N84" s="99">
        <f t="shared" si="11"/>
        <v>0.5161732512025942</v>
      </c>
      <c r="O84" s="120"/>
      <c r="P84" s="10" t="s">
        <v>43</v>
      </c>
      <c r="Q84" s="68">
        <f t="shared" si="9"/>
        <v>5.589147286821705</v>
      </c>
      <c r="R84" s="70"/>
      <c r="S84" s="368" t="s">
        <v>419</v>
      </c>
      <c r="T84" s="371"/>
      <c r="U84" s="370">
        <f>Q85</f>
        <v>0.737984496124031</v>
      </c>
    </row>
    <row r="85" spans="1:21" ht="15">
      <c r="A85" s="31" t="s">
        <v>142</v>
      </c>
      <c r="B85" s="130">
        <v>0.0952</v>
      </c>
      <c r="D85" s="10" t="s">
        <v>52</v>
      </c>
      <c r="E85" s="66">
        <f>(B92*39.1*2/(39.1*2+16))*10^4</f>
        <v>2017.2611464968154</v>
      </c>
      <c r="F85" s="120"/>
      <c r="G85" s="10" t="s">
        <v>52</v>
      </c>
      <c r="H85" s="99">
        <f t="shared" si="10"/>
        <v>0.20172611464968154</v>
      </c>
      <c r="J85" s="10" t="s">
        <v>52</v>
      </c>
      <c r="K85" s="66">
        <f t="shared" si="8"/>
        <v>15637.683306176863</v>
      </c>
      <c r="L85" s="122"/>
      <c r="M85" s="10" t="s">
        <v>52</v>
      </c>
      <c r="N85" s="99">
        <f t="shared" si="11"/>
        <v>1.5637683306176864</v>
      </c>
      <c r="O85" s="120"/>
      <c r="P85" s="10" t="s">
        <v>142</v>
      </c>
      <c r="Q85" s="68">
        <f t="shared" si="9"/>
        <v>0.737984496124031</v>
      </c>
      <c r="R85" s="70"/>
      <c r="S85" s="368" t="s">
        <v>420</v>
      </c>
      <c r="T85" s="371"/>
      <c r="U85" s="370">
        <f>Q92</f>
        <v>1.883720930232558</v>
      </c>
    </row>
    <row r="86" spans="1:21" ht="15">
      <c r="A86" s="31" t="s">
        <v>143</v>
      </c>
      <c r="B86" s="130">
        <v>0.009</v>
      </c>
      <c r="D86" s="10" t="s">
        <v>53</v>
      </c>
      <c r="E86" s="66">
        <f>(B89*24.31/(24.31+16))*10^4</f>
        <v>651.3222525427933</v>
      </c>
      <c r="F86" s="120"/>
      <c r="G86" s="10" t="s">
        <v>53</v>
      </c>
      <c r="H86" s="99">
        <f t="shared" si="10"/>
        <v>0.06513222525427934</v>
      </c>
      <c r="J86" s="10" t="s">
        <v>53</v>
      </c>
      <c r="K86" s="66">
        <f t="shared" si="8"/>
        <v>5049.009709634057</v>
      </c>
      <c r="L86" s="122"/>
      <c r="M86" s="10" t="s">
        <v>53</v>
      </c>
      <c r="N86" s="99">
        <f t="shared" si="11"/>
        <v>0.5049009709634057</v>
      </c>
      <c r="O86" s="120"/>
      <c r="P86" s="10" t="s">
        <v>143</v>
      </c>
      <c r="Q86" s="68">
        <f t="shared" si="9"/>
        <v>0.06976744186046512</v>
      </c>
      <c r="R86" s="70"/>
      <c r="S86" s="368" t="s">
        <v>44</v>
      </c>
      <c r="T86" s="371"/>
      <c r="U86" s="370">
        <f>Q87</f>
        <v>0.2627906976744186</v>
      </c>
    </row>
    <row r="87" spans="1:21" ht="15">
      <c r="A87" s="31" t="s">
        <v>192</v>
      </c>
      <c r="B87" s="130">
        <v>0.0339</v>
      </c>
      <c r="D87" s="10" t="s">
        <v>54</v>
      </c>
      <c r="E87" s="66">
        <f>(B87*54.94/(54.94+16))*10^4</f>
        <v>262.5410205807725</v>
      </c>
      <c r="F87" s="120"/>
      <c r="G87" s="10" t="s">
        <v>54</v>
      </c>
      <c r="H87" s="99">
        <f t="shared" si="10"/>
        <v>0.026254102058077253</v>
      </c>
      <c r="J87" s="10" t="s">
        <v>54</v>
      </c>
      <c r="K87" s="66">
        <f t="shared" si="8"/>
        <v>2035.201709928469</v>
      </c>
      <c r="L87" s="122"/>
      <c r="M87" s="10" t="s">
        <v>54</v>
      </c>
      <c r="N87" s="99">
        <f t="shared" si="11"/>
        <v>0.20352017099284692</v>
      </c>
      <c r="O87" s="120"/>
      <c r="P87" s="10" t="s">
        <v>192</v>
      </c>
      <c r="Q87" s="68">
        <f t="shared" si="9"/>
        <v>0.2627906976744186</v>
      </c>
      <c r="R87" s="70"/>
      <c r="S87" s="368" t="s">
        <v>421</v>
      </c>
      <c r="T87" s="371"/>
      <c r="U87" s="370">
        <f>Q88</f>
        <v>0</v>
      </c>
    </row>
    <row r="88" spans="1:21" ht="15">
      <c r="A88" s="31" t="s">
        <v>218</v>
      </c>
      <c r="B88" s="230">
        <v>0</v>
      </c>
      <c r="D88" s="10" t="s">
        <v>219</v>
      </c>
      <c r="E88" s="66">
        <f>(B88*54.94/(54.94+16*2))*10^4</f>
        <v>0</v>
      </c>
      <c r="F88" s="120"/>
      <c r="G88" s="10" t="s">
        <v>219</v>
      </c>
      <c r="H88" s="99">
        <f>E88*10^(-4)</f>
        <v>0</v>
      </c>
      <c r="J88" s="10" t="s">
        <v>219</v>
      </c>
      <c r="K88" s="66">
        <f>E88/$B$12</f>
        <v>0</v>
      </c>
      <c r="L88" s="122"/>
      <c r="M88" s="10" t="s">
        <v>219</v>
      </c>
      <c r="N88" s="99">
        <f>K88*10^(-4)</f>
        <v>0</v>
      </c>
      <c r="O88" s="120"/>
      <c r="P88" s="10" t="s">
        <v>218</v>
      </c>
      <c r="Q88" s="68">
        <f>B88/$B$12</f>
        <v>0</v>
      </c>
      <c r="R88" s="70"/>
      <c r="S88" s="368" t="s">
        <v>422</v>
      </c>
      <c r="T88" s="371"/>
      <c r="U88" s="370">
        <f>Q91</f>
        <v>5.108527131782946</v>
      </c>
    </row>
    <row r="89" spans="1:21" ht="15">
      <c r="A89" s="31" t="s">
        <v>44</v>
      </c>
      <c r="B89" s="130">
        <v>0.108</v>
      </c>
      <c r="D89" s="10" t="s">
        <v>55</v>
      </c>
      <c r="E89" s="66">
        <f>(B91*22.99*2/(22.99*2+16))*10^4</f>
        <v>4888.806066473056</v>
      </c>
      <c r="F89" s="120"/>
      <c r="G89" s="10" t="s">
        <v>55</v>
      </c>
      <c r="H89" s="99">
        <f>E89*10^(-4)</f>
        <v>0.4888806066473056</v>
      </c>
      <c r="J89" s="10" t="s">
        <v>55</v>
      </c>
      <c r="K89" s="66">
        <f t="shared" si="8"/>
        <v>37897.72144552756</v>
      </c>
      <c r="L89" s="122"/>
      <c r="M89" s="10" t="s">
        <v>55</v>
      </c>
      <c r="N89" s="99">
        <f t="shared" si="11"/>
        <v>3.789772144552756</v>
      </c>
      <c r="O89" s="120"/>
      <c r="P89" s="10" t="s">
        <v>44</v>
      </c>
      <c r="Q89" s="68">
        <f t="shared" si="9"/>
        <v>0.8372093023255813</v>
      </c>
      <c r="R89" s="70"/>
      <c r="S89" s="368" t="s">
        <v>423</v>
      </c>
      <c r="T89" s="371"/>
      <c r="U89" s="370">
        <f>Q81</f>
        <v>0.6751937984496124</v>
      </c>
    </row>
    <row r="90" spans="1:21" ht="15.75" thickBot="1">
      <c r="A90" s="31" t="s">
        <v>45</v>
      </c>
      <c r="B90" s="130">
        <v>0</v>
      </c>
      <c r="D90" s="10" t="s">
        <v>56</v>
      </c>
      <c r="E90" s="66">
        <f>(B81*2*30.97/(2*30.97+5*16))*10^4</f>
        <v>380.08834718895304</v>
      </c>
      <c r="F90" s="120"/>
      <c r="G90" s="10" t="s">
        <v>56</v>
      </c>
      <c r="H90" s="99">
        <f>E90*10^(-4)</f>
        <v>0.0380088347188953</v>
      </c>
      <c r="J90" s="10" t="s">
        <v>56</v>
      </c>
      <c r="K90" s="66">
        <f t="shared" si="8"/>
        <v>2946.4212960383957</v>
      </c>
      <c r="L90" s="122"/>
      <c r="M90" s="10" t="s">
        <v>56</v>
      </c>
      <c r="N90" s="99">
        <f t="shared" si="11"/>
        <v>0.29464212960383956</v>
      </c>
      <c r="O90" s="120"/>
      <c r="P90" s="10" t="s">
        <v>45</v>
      </c>
      <c r="Q90" s="68">
        <f t="shared" si="9"/>
        <v>0</v>
      </c>
      <c r="R90" s="70"/>
      <c r="S90" s="372" t="s">
        <v>424</v>
      </c>
      <c r="T90" s="373"/>
      <c r="U90" s="374">
        <f>Q86</f>
        <v>0.06976744186046512</v>
      </c>
    </row>
    <row r="91" spans="1:18" ht="15">
      <c r="A91" s="31" t="s">
        <v>145</v>
      </c>
      <c r="B91" s="130">
        <f>0.659</f>
        <v>0.659</v>
      </c>
      <c r="D91" s="10" t="s">
        <v>57</v>
      </c>
      <c r="E91" s="66">
        <f>(B82*28.09/(28.09+2*16))*10^4</f>
        <v>6170.544183724413</v>
      </c>
      <c r="F91" s="120"/>
      <c r="G91" s="10" t="s">
        <v>57</v>
      </c>
      <c r="H91" s="99">
        <f>E91*10^(-4)</f>
        <v>0.6170544183724413</v>
      </c>
      <c r="J91" s="10" t="s">
        <v>57</v>
      </c>
      <c r="K91" s="66">
        <f t="shared" si="8"/>
        <v>47833.67584282491</v>
      </c>
      <c r="L91" s="122"/>
      <c r="M91" s="10" t="s">
        <v>57</v>
      </c>
      <c r="N91" s="99">
        <f t="shared" si="11"/>
        <v>4.783367584282491</v>
      </c>
      <c r="O91" s="120"/>
      <c r="P91" s="10" t="s">
        <v>145</v>
      </c>
      <c r="Q91" s="68">
        <f t="shared" si="9"/>
        <v>5.108527131782946</v>
      </c>
      <c r="R91" s="70"/>
    </row>
    <row r="92" spans="1:18" ht="15">
      <c r="A92" s="23" t="s">
        <v>146</v>
      </c>
      <c r="B92" s="131">
        <v>0.243</v>
      </c>
      <c r="D92" s="12" t="s">
        <v>58</v>
      </c>
      <c r="E92" s="67">
        <f>(B86*47.88/(47.88+2*16))*10^4</f>
        <v>53.94591887831747</v>
      </c>
      <c r="G92" s="12" t="s">
        <v>58</v>
      </c>
      <c r="H92" s="124">
        <f>E92*10^(-4)</f>
        <v>0.005394591887831747</v>
      </c>
      <c r="J92" s="12" t="s">
        <v>58</v>
      </c>
      <c r="K92" s="67">
        <f t="shared" si="8"/>
        <v>418.1854176613757</v>
      </c>
      <c r="M92" s="12" t="s">
        <v>58</v>
      </c>
      <c r="N92" s="124">
        <f t="shared" si="11"/>
        <v>0.04181854176613757</v>
      </c>
      <c r="O92" s="120"/>
      <c r="P92" s="12" t="s">
        <v>146</v>
      </c>
      <c r="Q92" s="69">
        <f>B92/$B$12</f>
        <v>1.883720930232558</v>
      </c>
      <c r="R92" s="70"/>
    </row>
    <row r="93" spans="1:18" ht="12.75">
      <c r="A93" s="76"/>
      <c r="B93" s="70"/>
      <c r="D93" s="76"/>
      <c r="E93" s="70"/>
      <c r="G93" s="70"/>
      <c r="H93" s="70"/>
      <c r="J93" s="70"/>
      <c r="K93" s="70"/>
      <c r="M93" s="70"/>
      <c r="N93" s="70"/>
      <c r="O93" s="120"/>
      <c r="P93" s="76"/>
      <c r="Q93" s="70"/>
      <c r="R93" s="70"/>
    </row>
    <row r="94" spans="1:18" ht="12.75">
      <c r="A94" s="76"/>
      <c r="B94" s="226"/>
      <c r="D94" s="76"/>
      <c r="E94" s="120"/>
      <c r="G94" s="76"/>
      <c r="H94" s="227"/>
      <c r="J94" s="76"/>
      <c r="K94" s="120"/>
      <c r="M94" s="76"/>
      <c r="N94" s="227"/>
      <c r="O94" s="120"/>
      <c r="P94" s="76"/>
      <c r="Q94" s="121"/>
      <c r="R94" s="70"/>
    </row>
    <row r="95" spans="1:18" ht="12.75">
      <c r="A95" s="76"/>
      <c r="B95" s="226"/>
      <c r="D95" s="37"/>
      <c r="E95" s="37"/>
      <c r="G95" s="37"/>
      <c r="H95" s="37"/>
      <c r="J95" s="37"/>
      <c r="K95" s="37"/>
      <c r="M95" s="37"/>
      <c r="N95" s="37"/>
      <c r="O95" s="120"/>
      <c r="P95" s="76"/>
      <c r="Q95" s="37"/>
      <c r="R95" s="70"/>
    </row>
    <row r="96" spans="1:17" ht="18.75" customHeight="1">
      <c r="A96" s="40" t="s">
        <v>189</v>
      </c>
      <c r="B96" s="37"/>
      <c r="C96" s="37"/>
      <c r="D96" s="37"/>
      <c r="E96" s="37"/>
      <c r="F96" s="37"/>
      <c r="G96" s="37"/>
      <c r="H96" s="37"/>
      <c r="I96" s="37"/>
      <c r="J96" s="37"/>
      <c r="K96" s="37"/>
      <c r="L96" s="37"/>
      <c r="M96" s="37"/>
      <c r="N96" s="37"/>
      <c r="O96" s="37"/>
      <c r="P96" s="37"/>
      <c r="Q96" s="37"/>
    </row>
    <row r="97" spans="1:17" ht="16.5" thickBot="1">
      <c r="A97" s="40"/>
      <c r="B97" s="37"/>
      <c r="C97" s="37"/>
      <c r="D97" s="37"/>
      <c r="E97" s="37"/>
      <c r="F97" s="37"/>
      <c r="G97" s="37"/>
      <c r="H97" s="37"/>
      <c r="I97" s="37"/>
      <c r="J97" s="37"/>
      <c r="K97" s="37"/>
      <c r="L97" s="37"/>
      <c r="M97" s="37"/>
      <c r="N97" s="37"/>
      <c r="O97" s="37"/>
      <c r="P97" s="37"/>
      <c r="Q97" s="37"/>
    </row>
    <row r="98" spans="1:21" ht="15">
      <c r="A98" s="14" t="s">
        <v>13</v>
      </c>
      <c r="B98" s="16"/>
      <c r="D98" s="63" t="s">
        <v>6</v>
      </c>
      <c r="E98" s="64"/>
      <c r="G98" s="63" t="s">
        <v>6</v>
      </c>
      <c r="H98" s="64"/>
      <c r="J98" s="63" t="s">
        <v>6</v>
      </c>
      <c r="K98" s="64"/>
      <c r="M98" s="63" t="s">
        <v>6</v>
      </c>
      <c r="N98" s="64"/>
      <c r="P98" s="63" t="s">
        <v>6</v>
      </c>
      <c r="Q98" s="64"/>
      <c r="S98" s="363" t="s">
        <v>455</v>
      </c>
      <c r="T98" s="364"/>
      <c r="U98" s="365"/>
    </row>
    <row r="99" spans="1:21" ht="15">
      <c r="A99" s="17"/>
      <c r="B99" s="19"/>
      <c r="D99" s="258" t="str">
        <f>IF(SUM($K$101:$K$124)&gt;($B$12*100),"Orimlig summa!"," ")</f>
        <v> </v>
      </c>
      <c r="E99" s="65"/>
      <c r="G99" s="258" t="str">
        <f>IF(SUM($K$101:$K$124)&gt;($B$12*100),"Orimlig summa!"," ")</f>
        <v> </v>
      </c>
      <c r="H99" s="65"/>
      <c r="J99" s="258" t="str">
        <f>IF(SUM($K$101:$K$124)&gt;($B$12*100),"Orimlig summa!"," ")</f>
        <v> </v>
      </c>
      <c r="K99" s="65"/>
      <c r="M99" s="258" t="str">
        <f>IF(SUM($K$101:$K$124)&gt;($B$12*100),"Orimlig summa!"," ")</f>
        <v> </v>
      </c>
      <c r="N99" s="65"/>
      <c r="P99" s="258" t="str">
        <f>IF(SUM($K$101:$K$124)&gt;($B$12*100),"Orimlig summa!"," ")</f>
        <v> </v>
      </c>
      <c r="Q99" s="65"/>
      <c r="S99" s="375" t="s">
        <v>454</v>
      </c>
      <c r="T99" s="362"/>
      <c r="U99" s="366"/>
    </row>
    <row r="100" spans="1:21" ht="12.75">
      <c r="A100" s="20" t="s">
        <v>59</v>
      </c>
      <c r="B100" s="19"/>
      <c r="D100" s="9" t="s">
        <v>47</v>
      </c>
      <c r="E100" s="65"/>
      <c r="G100" s="9" t="s">
        <v>85</v>
      </c>
      <c r="H100" s="65"/>
      <c r="J100" s="9" t="s">
        <v>86</v>
      </c>
      <c r="K100" s="65"/>
      <c r="M100" s="9" t="s">
        <v>86</v>
      </c>
      <c r="N100" s="65"/>
      <c r="P100" s="9" t="s">
        <v>47</v>
      </c>
      <c r="Q100" s="65"/>
      <c r="S100" s="367" t="s">
        <v>47</v>
      </c>
      <c r="T100" s="362"/>
      <c r="U100" s="366"/>
    </row>
    <row r="101" spans="1:21" ht="15">
      <c r="A101" s="31" t="s">
        <v>48</v>
      </c>
      <c r="B101" s="132">
        <v>14310.60606060606</v>
      </c>
      <c r="D101" s="10" t="s">
        <v>48</v>
      </c>
      <c r="E101" s="99">
        <f>B101*10^(-4)</f>
        <v>1.4310606060606061</v>
      </c>
      <c r="G101" s="10" t="s">
        <v>48</v>
      </c>
      <c r="H101" s="66">
        <f>B101*$B$12</f>
        <v>1846.0681818181818</v>
      </c>
      <c r="J101" s="10" t="s">
        <v>48</v>
      </c>
      <c r="K101" s="99">
        <f>H101*10^(-4)</f>
        <v>0.18460681818181818</v>
      </c>
      <c r="M101" s="10" t="s">
        <v>139</v>
      </c>
      <c r="N101" s="68">
        <f>K117*(30.97*2+16*5)/(30.97*2)</f>
        <v>0.05419568937681628</v>
      </c>
      <c r="P101" s="10" t="s">
        <v>139</v>
      </c>
      <c r="Q101" s="68">
        <f>N101/$B$12</f>
        <v>0.4201216230760952</v>
      </c>
      <c r="S101" s="368" t="s">
        <v>417</v>
      </c>
      <c r="T101" s="369">
        <f>Q102</f>
        <v>27.127528451176527</v>
      </c>
      <c r="U101" s="370">
        <f>Q102</f>
        <v>27.127528451176527</v>
      </c>
    </row>
    <row r="102" spans="1:21" ht="15">
      <c r="A102" s="31" t="s">
        <v>126</v>
      </c>
      <c r="B102" s="132">
        <v>4.6929400386847195</v>
      </c>
      <c r="D102" s="10" t="s">
        <v>126</v>
      </c>
      <c r="E102" s="99">
        <f aca="true" t="shared" si="12" ref="E102:E123">B102*10^(-4)</f>
        <v>0.000469294003868472</v>
      </c>
      <c r="G102" s="10" t="s">
        <v>126</v>
      </c>
      <c r="H102" s="66">
        <f aca="true" t="shared" si="13" ref="H102:H124">B102*$B$12</f>
        <v>0.6053892649903289</v>
      </c>
      <c r="J102" s="10" t="s">
        <v>126</v>
      </c>
      <c r="K102" s="99">
        <f aca="true" t="shared" si="14" ref="K102:K124">H102*10^(-4)</f>
        <v>6.053892649903289E-05</v>
      </c>
      <c r="M102" s="10" t="s">
        <v>140</v>
      </c>
      <c r="N102" s="68">
        <f>K120*(28.09+2*16)/28.09</f>
        <v>3.499451170201772</v>
      </c>
      <c r="P102" s="10" t="s">
        <v>140</v>
      </c>
      <c r="Q102" s="68">
        <f aca="true" t="shared" si="15" ref="Q102:Q111">N102/$B$12</f>
        <v>27.127528451176527</v>
      </c>
      <c r="S102" s="368" t="s">
        <v>418</v>
      </c>
      <c r="T102" s="371"/>
      <c r="U102" s="370">
        <f>Q103</f>
        <v>2.7040574387312715</v>
      </c>
    </row>
    <row r="103" spans="1:21" ht="15">
      <c r="A103" s="31" t="s">
        <v>49</v>
      </c>
      <c r="B103" s="132">
        <v>99.46236559139786</v>
      </c>
      <c r="D103" s="10" t="s">
        <v>49</v>
      </c>
      <c r="E103" s="99">
        <f t="shared" si="12"/>
        <v>0.009946236559139785</v>
      </c>
      <c r="G103" s="10" t="s">
        <v>49</v>
      </c>
      <c r="H103" s="66">
        <f t="shared" si="13"/>
        <v>12.830645161290324</v>
      </c>
      <c r="J103" s="10" t="s">
        <v>49</v>
      </c>
      <c r="K103" s="99">
        <f t="shared" si="14"/>
        <v>0.0012830645161290325</v>
      </c>
      <c r="M103" s="10" t="s">
        <v>141</v>
      </c>
      <c r="N103" s="68">
        <f>K101*(2*26.98+3*16)/(26.98*2)</f>
        <v>0.348823409596334</v>
      </c>
      <c r="P103" s="10" t="s">
        <v>141</v>
      </c>
      <c r="Q103" s="68">
        <f t="shared" si="15"/>
        <v>2.7040574387312715</v>
      </c>
      <c r="S103" s="368" t="s">
        <v>43</v>
      </c>
      <c r="T103" s="371"/>
      <c r="U103" s="370">
        <f>Q104</f>
        <v>9.484397236062227</v>
      </c>
    </row>
    <row r="104" spans="1:21" ht="15">
      <c r="A104" s="31" t="s">
        <v>50</v>
      </c>
      <c r="B104" s="132">
        <v>67784.35114503816</v>
      </c>
      <c r="D104" s="10" t="s">
        <v>50</v>
      </c>
      <c r="E104" s="99">
        <f t="shared" si="12"/>
        <v>6.778435114503816</v>
      </c>
      <c r="G104" s="10" t="s">
        <v>50</v>
      </c>
      <c r="H104" s="66">
        <f t="shared" si="13"/>
        <v>8744.181297709923</v>
      </c>
      <c r="J104" s="10" t="s">
        <v>50</v>
      </c>
      <c r="K104" s="99">
        <f t="shared" si="14"/>
        <v>0.8744181297709924</v>
      </c>
      <c r="M104" s="10" t="s">
        <v>43</v>
      </c>
      <c r="N104" s="68">
        <f>K104*(40.08+16)/40.08</f>
        <v>1.2234872434520274</v>
      </c>
      <c r="P104" s="10" t="s">
        <v>43</v>
      </c>
      <c r="Q104" s="68">
        <f t="shared" si="15"/>
        <v>9.484397236062227</v>
      </c>
      <c r="S104" s="368" t="s">
        <v>419</v>
      </c>
      <c r="T104" s="371"/>
      <c r="U104" s="370">
        <f>Q105</f>
        <v>6.134319163627579</v>
      </c>
    </row>
    <row r="105" spans="1:21" ht="15">
      <c r="A105" s="31" t="s">
        <v>127</v>
      </c>
      <c r="B105" s="132">
        <v>9.848484848484848</v>
      </c>
      <c r="D105" s="10" t="s">
        <v>127</v>
      </c>
      <c r="E105" s="99">
        <f t="shared" si="12"/>
        <v>0.000984848484848485</v>
      </c>
      <c r="G105" s="10" t="s">
        <v>127</v>
      </c>
      <c r="H105" s="66">
        <f t="shared" si="13"/>
        <v>1.2704545454545455</v>
      </c>
      <c r="J105" s="10" t="s">
        <v>127</v>
      </c>
      <c r="K105" s="99">
        <f t="shared" si="14"/>
        <v>0.00012704545454545455</v>
      </c>
      <c r="M105" s="10" t="s">
        <v>142</v>
      </c>
      <c r="N105" s="68">
        <f>K109*(55.85*2+16*3)/(55.85*2)</f>
        <v>0.7913271721079577</v>
      </c>
      <c r="P105" s="10" t="s">
        <v>142</v>
      </c>
      <c r="Q105" s="68">
        <f t="shared" si="15"/>
        <v>6.134319163627579</v>
      </c>
      <c r="S105" s="368" t="s">
        <v>420</v>
      </c>
      <c r="T105" s="371"/>
      <c r="U105" s="370">
        <f>Q111</f>
        <v>0.7154615205766102</v>
      </c>
    </row>
    <row r="106" spans="1:21" ht="15">
      <c r="A106" s="31" t="s">
        <v>128</v>
      </c>
      <c r="B106" s="132">
        <v>318.1818181818182</v>
      </c>
      <c r="D106" s="10" t="s">
        <v>128</v>
      </c>
      <c r="E106" s="99">
        <f t="shared" si="12"/>
        <v>0.03181818181818182</v>
      </c>
      <c r="G106" s="10" t="s">
        <v>128</v>
      </c>
      <c r="H106" s="66">
        <f t="shared" si="13"/>
        <v>41.04545454545455</v>
      </c>
      <c r="J106" s="10" t="s">
        <v>128</v>
      </c>
      <c r="K106" s="99">
        <f t="shared" si="14"/>
        <v>0.0041045454545454545</v>
      </c>
      <c r="M106" s="10" t="s">
        <v>143</v>
      </c>
      <c r="N106" s="68">
        <f>K121*(47.88+2*16)/47.88</f>
        <v>0.1101533295604603</v>
      </c>
      <c r="P106" s="10" t="s">
        <v>143</v>
      </c>
      <c r="Q106" s="68">
        <f t="shared" si="15"/>
        <v>0.8539017795384519</v>
      </c>
      <c r="S106" s="368" t="s">
        <v>44</v>
      </c>
      <c r="T106" s="371"/>
      <c r="U106" s="370">
        <f>Q108</f>
        <v>0.9075463536137293</v>
      </c>
    </row>
    <row r="107" spans="1:21" ht="15">
      <c r="A107" s="31" t="s">
        <v>129</v>
      </c>
      <c r="B107" s="132">
        <v>220.43010752688173</v>
      </c>
      <c r="D107" s="10" t="s">
        <v>129</v>
      </c>
      <c r="E107" s="99">
        <f t="shared" si="12"/>
        <v>0.022043010752688174</v>
      </c>
      <c r="G107" s="10" t="s">
        <v>129</v>
      </c>
      <c r="H107" s="66">
        <f t="shared" si="13"/>
        <v>28.435483870967744</v>
      </c>
      <c r="J107" s="10" t="s">
        <v>129</v>
      </c>
      <c r="K107" s="99">
        <f t="shared" si="14"/>
        <v>0.0028435483870967743</v>
      </c>
      <c r="M107" s="10" t="s">
        <v>192</v>
      </c>
      <c r="N107" s="68">
        <f>K113*(54.94+16)/54.94</f>
        <v>0.0034371227486262074</v>
      </c>
      <c r="P107" s="10" t="s">
        <v>192</v>
      </c>
      <c r="Q107" s="68">
        <f t="shared" si="15"/>
        <v>0.02664436239245122</v>
      </c>
      <c r="S107" s="368" t="s">
        <v>421</v>
      </c>
      <c r="T107" s="371"/>
      <c r="U107" s="370">
        <f>Q114</f>
        <v>0.0326538041499818</v>
      </c>
    </row>
    <row r="108" spans="1:21" ht="15">
      <c r="A108" s="31" t="s">
        <v>130</v>
      </c>
      <c r="B108" s="132">
        <v>435.48387096774195</v>
      </c>
      <c r="C108" s="37"/>
      <c r="D108" s="10" t="s">
        <v>130</v>
      </c>
      <c r="E108" s="99">
        <f t="shared" si="12"/>
        <v>0.043548387096774194</v>
      </c>
      <c r="F108" s="37"/>
      <c r="G108" s="10" t="s">
        <v>130</v>
      </c>
      <c r="H108" s="66">
        <f t="shared" si="13"/>
        <v>56.17741935483871</v>
      </c>
      <c r="I108" s="37"/>
      <c r="J108" s="10" t="s">
        <v>130</v>
      </c>
      <c r="K108" s="99">
        <f t="shared" si="14"/>
        <v>0.005617741935483872</v>
      </c>
      <c r="L108" s="37"/>
      <c r="M108" s="10" t="s">
        <v>44</v>
      </c>
      <c r="N108" s="68">
        <f>K112*(24.31+16)/24.31</f>
        <v>0.11707347961617108</v>
      </c>
      <c r="P108" s="10" t="s">
        <v>44</v>
      </c>
      <c r="Q108" s="68">
        <f t="shared" si="15"/>
        <v>0.9075463536137293</v>
      </c>
      <c r="S108" s="368" t="s">
        <v>422</v>
      </c>
      <c r="T108" s="371"/>
      <c r="U108" s="370">
        <f>Q110</f>
        <v>0.5327720126763189</v>
      </c>
    </row>
    <row r="109" spans="1:21" ht="15">
      <c r="A109" s="31" t="s">
        <v>51</v>
      </c>
      <c r="B109" s="132">
        <v>42905.66378066378</v>
      </c>
      <c r="C109" s="37"/>
      <c r="D109" s="10" t="s">
        <v>51</v>
      </c>
      <c r="E109" s="99">
        <f t="shared" si="12"/>
        <v>4.290566378066378</v>
      </c>
      <c r="F109" s="37"/>
      <c r="G109" s="10" t="s">
        <v>51</v>
      </c>
      <c r="H109" s="66">
        <f t="shared" si="13"/>
        <v>5534.830627705628</v>
      </c>
      <c r="I109" s="37"/>
      <c r="J109" s="10" t="s">
        <v>51</v>
      </c>
      <c r="K109" s="99">
        <f t="shared" si="14"/>
        <v>0.5534830627705628</v>
      </c>
      <c r="L109" s="37"/>
      <c r="M109" s="10" t="s">
        <v>45</v>
      </c>
      <c r="N109" s="68">
        <f>K103*(137.3+16)/137.3</f>
        <v>0.0014325840518760427</v>
      </c>
      <c r="P109" s="10" t="s">
        <v>45</v>
      </c>
      <c r="Q109" s="68">
        <f t="shared" si="15"/>
        <v>0.011105302727721261</v>
      </c>
      <c r="S109" s="368" t="s">
        <v>423</v>
      </c>
      <c r="T109" s="371"/>
      <c r="U109" s="370">
        <f>Q101</f>
        <v>0.4201216230760952</v>
      </c>
    </row>
    <row r="110" spans="1:21" ht="15.75" thickBot="1">
      <c r="A110" s="31" t="s">
        <v>131</v>
      </c>
      <c r="B110" s="132">
        <v>0.3053435114503817</v>
      </c>
      <c r="C110" s="37"/>
      <c r="D110" s="10" t="s">
        <v>131</v>
      </c>
      <c r="E110" s="99">
        <f t="shared" si="12"/>
        <v>3.053435114503817E-05</v>
      </c>
      <c r="F110" s="37"/>
      <c r="G110" s="10" t="s">
        <v>131</v>
      </c>
      <c r="H110" s="66">
        <f t="shared" si="13"/>
        <v>0.03938931297709924</v>
      </c>
      <c r="I110" s="37"/>
      <c r="J110" s="10" t="s">
        <v>131</v>
      </c>
      <c r="K110" s="99">
        <f t="shared" si="14"/>
        <v>3.938931297709924E-06</v>
      </c>
      <c r="L110" s="37"/>
      <c r="M110" s="10" t="s">
        <v>145</v>
      </c>
      <c r="N110" s="68">
        <f>K115*(22.99*2+16)/(2*22.99)</f>
        <v>0.06872758963524514</v>
      </c>
      <c r="P110" s="10" t="s">
        <v>145</v>
      </c>
      <c r="Q110" s="68">
        <f t="shared" si="15"/>
        <v>0.5327720126763189</v>
      </c>
      <c r="S110" s="372" t="s">
        <v>424</v>
      </c>
      <c r="T110" s="373"/>
      <c r="U110" s="374">
        <f>Q106</f>
        <v>0.8539017795384519</v>
      </c>
    </row>
    <row r="111" spans="1:17" ht="15">
      <c r="A111" s="31" t="s">
        <v>52</v>
      </c>
      <c r="B111" s="132">
        <v>5939.393939393939</v>
      </c>
      <c r="C111" s="37"/>
      <c r="D111" s="10" t="s">
        <v>52</v>
      </c>
      <c r="E111" s="99">
        <f t="shared" si="12"/>
        <v>0.5939393939393939</v>
      </c>
      <c r="F111" s="37"/>
      <c r="G111" s="10" t="s">
        <v>52</v>
      </c>
      <c r="H111" s="66">
        <f t="shared" si="13"/>
        <v>766.1818181818181</v>
      </c>
      <c r="I111" s="37"/>
      <c r="J111" s="10" t="s">
        <v>52</v>
      </c>
      <c r="K111" s="99">
        <f t="shared" si="14"/>
        <v>0.07661818181818182</v>
      </c>
      <c r="L111" s="37"/>
      <c r="M111" s="12" t="s">
        <v>146</v>
      </c>
      <c r="N111" s="69">
        <f>K111*(39.1*2+16)/(39.1*2)</f>
        <v>0.09229453615438271</v>
      </c>
      <c r="P111" s="12" t="s">
        <v>146</v>
      </c>
      <c r="Q111" s="69">
        <f t="shared" si="15"/>
        <v>0.7154615205766102</v>
      </c>
    </row>
    <row r="112" spans="1:16" ht="12.75">
      <c r="A112" s="31" t="s">
        <v>53</v>
      </c>
      <c r="B112" s="132">
        <v>5473.195697432338</v>
      </c>
      <c r="C112" s="37"/>
      <c r="D112" s="10" t="s">
        <v>53</v>
      </c>
      <c r="E112" s="99">
        <f t="shared" si="12"/>
        <v>0.5473195697432338</v>
      </c>
      <c r="F112" s="37"/>
      <c r="G112" s="10" t="s">
        <v>53</v>
      </c>
      <c r="H112" s="66">
        <f t="shared" si="13"/>
        <v>706.0422449687717</v>
      </c>
      <c r="I112" s="37"/>
      <c r="J112" s="10" t="s">
        <v>53</v>
      </c>
      <c r="K112" s="99">
        <f t="shared" si="14"/>
        <v>0.07060422449687717</v>
      </c>
      <c r="L112" s="37"/>
      <c r="M112" s="37"/>
      <c r="N112" s="37"/>
      <c r="P112" s="37"/>
    </row>
    <row r="113" spans="1:36" s="37" customFormat="1" ht="12.75">
      <c r="A113" s="31" t="s">
        <v>54</v>
      </c>
      <c r="B113" s="132">
        <v>206.34920634920636</v>
      </c>
      <c r="D113" s="10" t="s">
        <v>54</v>
      </c>
      <c r="E113" s="99">
        <f t="shared" si="12"/>
        <v>0.020634920634920638</v>
      </c>
      <c r="G113" s="10" t="s">
        <v>54</v>
      </c>
      <c r="H113" s="66">
        <f t="shared" si="13"/>
        <v>26.61904761904762</v>
      </c>
      <c r="J113" s="10" t="s">
        <v>54</v>
      </c>
      <c r="K113" s="99">
        <f>H113*10^(-4)</f>
        <v>0.002661904761904762</v>
      </c>
      <c r="M113" s="76" t="s">
        <v>217</v>
      </c>
      <c r="AB113"/>
      <c r="AC113"/>
      <c r="AD113"/>
      <c r="AE113"/>
      <c r="AF113"/>
      <c r="AG113"/>
      <c r="AH113"/>
      <c r="AI113"/>
      <c r="AJ113"/>
    </row>
    <row r="114" spans="1:36" s="37" customFormat="1" ht="15">
      <c r="A114" s="31" t="s">
        <v>132</v>
      </c>
      <c r="B114" s="321">
        <v>7.478260869565217</v>
      </c>
      <c r="D114" s="10" t="s">
        <v>132</v>
      </c>
      <c r="E114" s="99">
        <f>B114*10^(-4)</f>
        <v>0.0007478260869565217</v>
      </c>
      <c r="G114" s="10" t="s">
        <v>132</v>
      </c>
      <c r="H114" s="66">
        <f t="shared" si="13"/>
        <v>0.964695652173913</v>
      </c>
      <c r="J114" s="10" t="s">
        <v>132</v>
      </c>
      <c r="K114" s="99">
        <f t="shared" si="14"/>
        <v>9.64695652173913E-05</v>
      </c>
      <c r="M114" s="224" t="s">
        <v>144</v>
      </c>
      <c r="N114" s="225">
        <f>K113*(54.94+2*16)/54.94</f>
        <v>0.004212340735347652</v>
      </c>
      <c r="O114" s="70"/>
      <c r="P114" s="224" t="s">
        <v>144</v>
      </c>
      <c r="Q114" s="225">
        <f>N114/$B$12</f>
        <v>0.0326538041499818</v>
      </c>
      <c r="AB114"/>
      <c r="AC114"/>
      <c r="AD114"/>
      <c r="AE114"/>
      <c r="AF114"/>
      <c r="AG114"/>
      <c r="AH114"/>
      <c r="AI114"/>
      <c r="AJ114"/>
    </row>
    <row r="115" spans="1:17" ht="12.75">
      <c r="A115" s="31" t="s">
        <v>55</v>
      </c>
      <c r="B115" s="132">
        <v>3952.3809523809523</v>
      </c>
      <c r="C115" s="37"/>
      <c r="D115" s="10" t="s">
        <v>55</v>
      </c>
      <c r="E115" s="99">
        <f t="shared" si="12"/>
        <v>0.3952380952380952</v>
      </c>
      <c r="F115" s="37"/>
      <c r="G115" s="10" t="s">
        <v>55</v>
      </c>
      <c r="H115" s="66">
        <f t="shared" si="13"/>
        <v>509.85714285714283</v>
      </c>
      <c r="I115" s="37"/>
      <c r="J115" s="10" t="s">
        <v>55</v>
      </c>
      <c r="K115" s="99">
        <f t="shared" si="14"/>
        <v>0.05098571428571429</v>
      </c>
      <c r="L115" s="37"/>
      <c r="M115" s="37"/>
      <c r="N115" s="37"/>
      <c r="O115" s="37"/>
      <c r="P115" s="37"/>
      <c r="Q115" s="37"/>
    </row>
    <row r="116" spans="1:17" ht="12.75">
      <c r="A116" s="31" t="s">
        <v>133</v>
      </c>
      <c r="B116" s="321">
        <v>39.26046176046176</v>
      </c>
      <c r="C116" s="37"/>
      <c r="D116" s="10" t="s">
        <v>133</v>
      </c>
      <c r="E116" s="99">
        <f t="shared" si="12"/>
        <v>0.003926046176046176</v>
      </c>
      <c r="F116" s="37"/>
      <c r="G116" s="10" t="s">
        <v>133</v>
      </c>
      <c r="H116" s="66">
        <f t="shared" si="13"/>
        <v>5.064599567099567</v>
      </c>
      <c r="I116" s="37"/>
      <c r="J116" s="10" t="s">
        <v>133</v>
      </c>
      <c r="K116" s="99">
        <f t="shared" si="14"/>
        <v>0.0005064599567099567</v>
      </c>
      <c r="L116" s="37"/>
      <c r="M116" s="37"/>
      <c r="N116" s="37"/>
      <c r="O116" s="37"/>
      <c r="P116" s="37"/>
      <c r="Q116" s="37"/>
    </row>
    <row r="117" spans="1:17" ht="12.75">
      <c r="A117" s="31" t="s">
        <v>56</v>
      </c>
      <c r="B117" s="132">
        <v>1833.3333333333333</v>
      </c>
      <c r="C117" s="37"/>
      <c r="D117" s="10" t="s">
        <v>56</v>
      </c>
      <c r="E117" s="99">
        <f t="shared" si="12"/>
        <v>0.18333333333333335</v>
      </c>
      <c r="F117" s="37"/>
      <c r="G117" s="10" t="s">
        <v>56</v>
      </c>
      <c r="H117" s="66">
        <f t="shared" si="13"/>
        <v>236.5</v>
      </c>
      <c r="I117" s="37"/>
      <c r="J117" s="10" t="s">
        <v>56</v>
      </c>
      <c r="K117" s="99">
        <f t="shared" si="14"/>
        <v>0.02365</v>
      </c>
      <c r="L117" s="37"/>
      <c r="M117" s="37"/>
      <c r="N117" s="37"/>
      <c r="O117" s="37"/>
      <c r="P117" s="37"/>
      <c r="Q117" s="37"/>
    </row>
    <row r="118" spans="1:17" ht="12.75">
      <c r="A118" s="31" t="s">
        <v>134</v>
      </c>
      <c r="B118" s="321">
        <v>172.22222222222223</v>
      </c>
      <c r="C118" s="37"/>
      <c r="D118" s="10" t="s">
        <v>134</v>
      </c>
      <c r="E118" s="99">
        <f t="shared" si="12"/>
        <v>0.017222222222222222</v>
      </c>
      <c r="F118" s="37"/>
      <c r="G118" s="10" t="s">
        <v>134</v>
      </c>
      <c r="H118" s="66">
        <f>B118*$B$12</f>
        <v>22.21666666666667</v>
      </c>
      <c r="I118" s="37"/>
      <c r="J118" s="10" t="s">
        <v>134</v>
      </c>
      <c r="K118" s="99">
        <f t="shared" si="14"/>
        <v>0.002221666666666667</v>
      </c>
      <c r="L118" s="37"/>
      <c r="M118" s="37"/>
      <c r="N118" s="37"/>
      <c r="O118" s="37"/>
      <c r="P118" s="37"/>
      <c r="Q118" s="37"/>
    </row>
    <row r="119" spans="1:17" ht="12.75">
      <c r="A119" s="31" t="s">
        <v>135</v>
      </c>
      <c r="B119" s="174">
        <v>7.045721514412217</v>
      </c>
      <c r="C119" s="37"/>
      <c r="D119" s="10" t="s">
        <v>135</v>
      </c>
      <c r="E119" s="99">
        <f>B119*10^(-4)</f>
        <v>0.0007045721514412217</v>
      </c>
      <c r="F119" s="37"/>
      <c r="G119" s="10" t="s">
        <v>135</v>
      </c>
      <c r="H119" s="66">
        <f>B119*$B$12</f>
        <v>0.908898075359176</v>
      </c>
      <c r="I119" s="37"/>
      <c r="J119" s="10" t="s">
        <v>135</v>
      </c>
      <c r="K119" s="99">
        <f>H119*10^(-4)</f>
        <v>9.08898075359176E-05</v>
      </c>
      <c r="L119" s="37"/>
      <c r="M119" s="37"/>
      <c r="N119" s="37"/>
      <c r="O119" s="37"/>
      <c r="P119" s="37"/>
      <c r="Q119" s="37"/>
    </row>
    <row r="120" spans="1:17" ht="12.75">
      <c r="A120" s="31" t="s">
        <v>57</v>
      </c>
      <c r="B120" s="132">
        <v>126811.82795698925</v>
      </c>
      <c r="C120" s="37"/>
      <c r="D120" s="10" t="s">
        <v>57</v>
      </c>
      <c r="E120" s="99">
        <f t="shared" si="12"/>
        <v>12.681182795698925</v>
      </c>
      <c r="F120" s="37"/>
      <c r="G120" s="10" t="s">
        <v>57</v>
      </c>
      <c r="H120" s="66">
        <f>B120*$B$12</f>
        <v>16358.725806451614</v>
      </c>
      <c r="I120" s="37"/>
      <c r="J120" s="10" t="s">
        <v>57</v>
      </c>
      <c r="K120" s="99">
        <f t="shared" si="14"/>
        <v>1.6358725806451615</v>
      </c>
      <c r="L120" s="37"/>
      <c r="M120" s="37"/>
      <c r="N120" s="37"/>
      <c r="O120" s="37"/>
      <c r="P120" s="37"/>
      <c r="Q120" s="37"/>
    </row>
    <row r="121" spans="1:17" ht="12.75">
      <c r="A121" s="31" t="s">
        <v>58</v>
      </c>
      <c r="B121" s="132">
        <v>5118.279569892473</v>
      </c>
      <c r="C121" s="37"/>
      <c r="D121" s="10" t="s">
        <v>58</v>
      </c>
      <c r="E121" s="99">
        <f t="shared" si="12"/>
        <v>0.5118279569892473</v>
      </c>
      <c r="F121" s="37"/>
      <c r="G121" s="10" t="s">
        <v>58</v>
      </c>
      <c r="H121" s="66">
        <f>B121*$B$12</f>
        <v>660.258064516129</v>
      </c>
      <c r="I121" s="37"/>
      <c r="J121" s="10" t="s">
        <v>58</v>
      </c>
      <c r="K121" s="99">
        <f t="shared" si="14"/>
        <v>0.0660258064516129</v>
      </c>
      <c r="L121" s="37"/>
      <c r="M121" s="37"/>
      <c r="N121" s="37"/>
      <c r="O121" s="37"/>
      <c r="P121" s="37"/>
      <c r="Q121" s="37"/>
    </row>
    <row r="122" spans="1:17" ht="12.75">
      <c r="A122" s="31" t="s">
        <v>136</v>
      </c>
      <c r="B122" s="174">
        <v>0.5330587966140471</v>
      </c>
      <c r="C122" s="37"/>
      <c r="D122" s="10" t="s">
        <v>136</v>
      </c>
      <c r="E122" s="99">
        <f t="shared" si="12"/>
        <v>5.330587966140471E-05</v>
      </c>
      <c r="F122" s="37"/>
      <c r="G122" s="10" t="s">
        <v>136</v>
      </c>
      <c r="H122" s="66">
        <f>B122*$B$12</f>
        <v>0.06876458476321208</v>
      </c>
      <c r="I122" s="37"/>
      <c r="J122" s="10" t="s">
        <v>136</v>
      </c>
      <c r="K122" s="99">
        <f>H122*10^(-4)</f>
        <v>6.876458476321208E-06</v>
      </c>
      <c r="L122" s="37"/>
      <c r="M122" s="37"/>
      <c r="N122" s="37"/>
      <c r="O122" s="37"/>
      <c r="P122" s="37"/>
      <c r="Q122" s="37"/>
    </row>
    <row r="123" spans="1:17" ht="12.75">
      <c r="A123" s="31" t="s">
        <v>137</v>
      </c>
      <c r="B123" s="174">
        <v>37.634408602150536</v>
      </c>
      <c r="C123" s="37"/>
      <c r="D123" s="10" t="s">
        <v>137</v>
      </c>
      <c r="E123" s="99">
        <f t="shared" si="12"/>
        <v>0.003763440860215054</v>
      </c>
      <c r="F123" s="37"/>
      <c r="G123" s="10" t="s">
        <v>137</v>
      </c>
      <c r="H123" s="66">
        <f t="shared" si="13"/>
        <v>4.854838709677419</v>
      </c>
      <c r="I123" s="37"/>
      <c r="J123" s="10" t="s">
        <v>137</v>
      </c>
      <c r="K123" s="99">
        <f>H123*10^(-4)</f>
        <v>0.0004854838709677419</v>
      </c>
      <c r="L123" s="37"/>
      <c r="M123" s="37"/>
      <c r="N123" s="37"/>
      <c r="O123" s="37"/>
      <c r="P123" s="37"/>
      <c r="Q123" s="37"/>
    </row>
    <row r="124" spans="1:17" ht="12.75">
      <c r="A124" s="23" t="s">
        <v>138</v>
      </c>
      <c r="B124" s="172">
        <v>82260.86956521739</v>
      </c>
      <c r="C124" s="37"/>
      <c r="D124" s="12" t="s">
        <v>138</v>
      </c>
      <c r="E124" s="124">
        <f>B124*10^(-4)</f>
        <v>8.226086956521739</v>
      </c>
      <c r="F124" s="37"/>
      <c r="G124" s="12" t="s">
        <v>138</v>
      </c>
      <c r="H124" s="67">
        <f t="shared" si="13"/>
        <v>10611.652173913044</v>
      </c>
      <c r="I124" s="37"/>
      <c r="J124" s="12" t="s">
        <v>138</v>
      </c>
      <c r="K124" s="124">
        <f t="shared" si="14"/>
        <v>1.0611652173913044</v>
      </c>
      <c r="L124" s="37"/>
      <c r="M124" s="37"/>
      <c r="N124" s="37"/>
      <c r="O124" s="37"/>
      <c r="P124" s="37"/>
      <c r="Q124" s="37"/>
    </row>
    <row r="125" spans="1:17" ht="12.75">
      <c r="A125" s="37"/>
      <c r="B125" s="376"/>
      <c r="D125" s="37"/>
      <c r="E125" s="37"/>
      <c r="G125" s="37"/>
      <c r="H125" s="37"/>
      <c r="J125" s="37"/>
      <c r="K125" s="37"/>
      <c r="M125" s="37"/>
      <c r="N125" s="37"/>
      <c r="P125" s="37"/>
      <c r="Q125" s="37"/>
    </row>
    <row r="126" spans="1:17" ht="20.25" customHeight="1">
      <c r="A126" s="49" t="s">
        <v>190</v>
      </c>
      <c r="B126" s="37"/>
      <c r="D126" s="37"/>
      <c r="E126" s="37"/>
      <c r="G126" s="37"/>
      <c r="H126" s="37"/>
      <c r="J126" s="37"/>
      <c r="K126" s="37"/>
      <c r="M126" s="37"/>
      <c r="N126" s="37"/>
      <c r="P126" s="37"/>
      <c r="Q126" s="37"/>
    </row>
    <row r="127" spans="1:17" ht="13.5" thickBot="1">
      <c r="A127" s="37"/>
      <c r="B127" s="37"/>
      <c r="D127" s="37"/>
      <c r="E127" s="37"/>
      <c r="G127" s="37"/>
      <c r="H127" s="37"/>
      <c r="J127" s="37"/>
      <c r="K127" s="37"/>
      <c r="M127" s="37"/>
      <c r="N127" s="37"/>
      <c r="P127" s="37"/>
      <c r="Q127" s="37"/>
    </row>
    <row r="128" spans="1:21" ht="15">
      <c r="A128" s="14" t="s">
        <v>13</v>
      </c>
      <c r="B128" s="16"/>
      <c r="D128" s="63" t="s">
        <v>6</v>
      </c>
      <c r="E128" s="64"/>
      <c r="G128" s="63" t="s">
        <v>6</v>
      </c>
      <c r="H128" s="64"/>
      <c r="J128" s="63" t="s">
        <v>6</v>
      </c>
      <c r="K128" s="64"/>
      <c r="M128" s="63" t="s">
        <v>6</v>
      </c>
      <c r="N128" s="64"/>
      <c r="P128" s="63" t="s">
        <v>6</v>
      </c>
      <c r="Q128" s="64"/>
      <c r="S128" s="363" t="s">
        <v>455</v>
      </c>
      <c r="T128" s="364"/>
      <c r="U128" s="365"/>
    </row>
    <row r="129" spans="1:21" ht="15">
      <c r="A129" s="17"/>
      <c r="B129" s="19"/>
      <c r="D129" s="258" t="str">
        <f>IF(SUM($K$131:$K$154)&gt;($B$12*100),"Orimlig summa!"," ")</f>
        <v> </v>
      </c>
      <c r="E129" s="65"/>
      <c r="G129" s="258" t="str">
        <f>IF(SUM($K$131:$K$154)&gt;($B$12*100),"Orimlig summa!"," ")</f>
        <v> </v>
      </c>
      <c r="H129" s="65"/>
      <c r="J129" s="258" t="str">
        <f>IF(SUM($K$131:$K$154)&gt;($B$12*100),"Orimlig summa!"," ")</f>
        <v> </v>
      </c>
      <c r="K129" s="65"/>
      <c r="M129" s="258" t="str">
        <f>IF(SUM($K$131:$K$154)&gt;($B$12*100),"Orimlig summa!"," ")</f>
        <v> </v>
      </c>
      <c r="N129" s="65"/>
      <c r="P129" s="258" t="str">
        <f>IF(SUM($K$131:$K$154)&gt;($B$12*100),"Orimlig summa!"," ")</f>
        <v> </v>
      </c>
      <c r="Q129" s="65"/>
      <c r="S129" s="375" t="s">
        <v>454</v>
      </c>
      <c r="T129" s="362"/>
      <c r="U129" s="366"/>
    </row>
    <row r="130" spans="1:21" ht="12.75">
      <c r="A130" s="20" t="s">
        <v>47</v>
      </c>
      <c r="B130" s="19"/>
      <c r="D130" s="9" t="s">
        <v>59</v>
      </c>
      <c r="E130" s="65"/>
      <c r="G130" s="9" t="s">
        <v>85</v>
      </c>
      <c r="H130" s="65"/>
      <c r="J130" s="9" t="s">
        <v>86</v>
      </c>
      <c r="K130" s="65"/>
      <c r="M130" s="9" t="s">
        <v>86</v>
      </c>
      <c r="N130" s="65"/>
      <c r="P130" s="9" t="s">
        <v>47</v>
      </c>
      <c r="Q130" s="65"/>
      <c r="S130" s="367" t="s">
        <v>47</v>
      </c>
      <c r="T130" s="362"/>
      <c r="U130" s="366"/>
    </row>
    <row r="131" spans="1:21" ht="15">
      <c r="A131" s="31" t="s">
        <v>48</v>
      </c>
      <c r="B131" s="133">
        <v>1.3483</v>
      </c>
      <c r="D131" s="10" t="s">
        <v>48</v>
      </c>
      <c r="E131" s="66">
        <f>B131*10^4</f>
        <v>13483</v>
      </c>
      <c r="G131" s="10" t="s">
        <v>48</v>
      </c>
      <c r="H131" s="66">
        <f>E131*$B$12</f>
        <v>1739.307</v>
      </c>
      <c r="J131" s="10" t="s">
        <v>48</v>
      </c>
      <c r="K131" s="99">
        <f>H131*10^(-4)</f>
        <v>0.17393070000000002</v>
      </c>
      <c r="M131" s="10" t="s">
        <v>139</v>
      </c>
      <c r="N131" s="68">
        <f>K147*(30.97*2+16*5)/(30.97*2)</f>
        <v>0.18268874200839522</v>
      </c>
      <c r="P131" s="10" t="s">
        <v>139</v>
      </c>
      <c r="Q131" s="68">
        <f aca="true" t="shared" si="16" ref="Q131:Q141">N131/$B$12</f>
        <v>1.4161917985146915</v>
      </c>
      <c r="S131" s="368" t="s">
        <v>417</v>
      </c>
      <c r="T131" s="369">
        <f>Q132</f>
        <v>28.842986080455685</v>
      </c>
      <c r="U131" s="370">
        <f>Q132</f>
        <v>28.842986080455685</v>
      </c>
    </row>
    <row r="132" spans="1:21" ht="15">
      <c r="A132" s="31" t="s">
        <v>126</v>
      </c>
      <c r="B132" s="133">
        <v>0.0073</v>
      </c>
      <c r="D132" s="10" t="s">
        <v>126</v>
      </c>
      <c r="E132" s="66">
        <f aca="true" t="shared" si="17" ref="E132:E153">B132*10^4</f>
        <v>73</v>
      </c>
      <c r="G132" s="10" t="s">
        <v>126</v>
      </c>
      <c r="H132" s="66">
        <f aca="true" t="shared" si="18" ref="H132:H154">E132*$B$12</f>
        <v>9.417</v>
      </c>
      <c r="J132" s="10" t="s">
        <v>126</v>
      </c>
      <c r="K132" s="99">
        <f aca="true" t="shared" si="19" ref="K132:K154">H132*10^(-4)</f>
        <v>0.0009417000000000001</v>
      </c>
      <c r="M132" s="10" t="s">
        <v>140</v>
      </c>
      <c r="N132" s="68">
        <f>K150*(28.09+2*16)/28.09</f>
        <v>3.720745204378783</v>
      </c>
      <c r="P132" s="10" t="s">
        <v>140</v>
      </c>
      <c r="Q132" s="68">
        <f t="shared" si="16"/>
        <v>28.842986080455685</v>
      </c>
      <c r="S132" s="368" t="s">
        <v>418</v>
      </c>
      <c r="T132" s="371"/>
      <c r="U132" s="370">
        <f>Q133</f>
        <v>2.5476773165307636</v>
      </c>
    </row>
    <row r="133" spans="1:21" ht="15">
      <c r="A133" s="31" t="s">
        <v>49</v>
      </c>
      <c r="B133" s="133">
        <v>0.0584</v>
      </c>
      <c r="D133" s="10" t="s">
        <v>49</v>
      </c>
      <c r="E133" s="66">
        <f t="shared" si="17"/>
        <v>584</v>
      </c>
      <c r="G133" s="10" t="s">
        <v>49</v>
      </c>
      <c r="H133" s="66">
        <f t="shared" si="18"/>
        <v>75.336</v>
      </c>
      <c r="J133" s="10" t="s">
        <v>49</v>
      </c>
      <c r="K133" s="99">
        <f t="shared" si="19"/>
        <v>0.0075336000000000005</v>
      </c>
      <c r="M133" s="10" t="s">
        <v>141</v>
      </c>
      <c r="N133" s="68">
        <f>K131*(2*26.98+3*16)/(26.98*2)</f>
        <v>0.32865037383246853</v>
      </c>
      <c r="P133" s="10" t="s">
        <v>141</v>
      </c>
      <c r="Q133" s="68">
        <f t="shared" si="16"/>
        <v>2.5476773165307636</v>
      </c>
      <c r="S133" s="368" t="s">
        <v>43</v>
      </c>
      <c r="T133" s="371"/>
      <c r="U133" s="370">
        <f>Q134</f>
        <v>26.72628962075849</v>
      </c>
    </row>
    <row r="134" spans="1:21" ht="15">
      <c r="A134" s="31" t="s">
        <v>50</v>
      </c>
      <c r="B134" s="133">
        <v>19.101100000000002</v>
      </c>
      <c r="D134" s="10" t="s">
        <v>50</v>
      </c>
      <c r="E134" s="66">
        <f t="shared" si="17"/>
        <v>191011.00000000003</v>
      </c>
      <c r="G134" s="10" t="s">
        <v>50</v>
      </c>
      <c r="H134" s="66">
        <f t="shared" si="18"/>
        <v>24640.419000000005</v>
      </c>
      <c r="J134" s="10" t="s">
        <v>50</v>
      </c>
      <c r="K134" s="99">
        <f t="shared" si="19"/>
        <v>2.4640419000000007</v>
      </c>
      <c r="M134" s="10" t="s">
        <v>43</v>
      </c>
      <c r="N134" s="68">
        <f>K134*(40.08+16)/40.08</f>
        <v>3.4476913610778452</v>
      </c>
      <c r="P134" s="10" t="s">
        <v>43</v>
      </c>
      <c r="Q134" s="68">
        <f t="shared" si="16"/>
        <v>26.72628962075849</v>
      </c>
      <c r="S134" s="368" t="s">
        <v>419</v>
      </c>
      <c r="T134" s="371"/>
      <c r="U134" s="370">
        <f>Q135</f>
        <v>8.353439480752016</v>
      </c>
    </row>
    <row r="135" spans="1:21" ht="15">
      <c r="A135" s="31" t="s">
        <v>127</v>
      </c>
      <c r="B135" s="133">
        <v>0.00030000000000000003</v>
      </c>
      <c r="D135" s="10" t="s">
        <v>127</v>
      </c>
      <c r="E135" s="66">
        <f t="shared" si="17"/>
        <v>3.0000000000000004</v>
      </c>
      <c r="G135" s="10" t="s">
        <v>127</v>
      </c>
      <c r="H135" s="66">
        <f t="shared" si="18"/>
        <v>0.38700000000000007</v>
      </c>
      <c r="J135" s="10" t="s">
        <v>127</v>
      </c>
      <c r="K135" s="99">
        <f t="shared" si="19"/>
        <v>3.8700000000000006E-05</v>
      </c>
      <c r="M135" s="10" t="s">
        <v>142</v>
      </c>
      <c r="N135" s="68">
        <f>K139*(55.85*2+16*3)/(55.85*2)</f>
        <v>1.07759369301701</v>
      </c>
      <c r="P135" s="10" t="s">
        <v>142</v>
      </c>
      <c r="Q135" s="68">
        <f t="shared" si="16"/>
        <v>8.353439480752016</v>
      </c>
      <c r="S135" s="368" t="s">
        <v>420</v>
      </c>
      <c r="T135" s="371"/>
      <c r="U135" s="370">
        <f>Q141</f>
        <v>1.1505168797953962</v>
      </c>
    </row>
    <row r="136" spans="1:21" ht="15">
      <c r="A136" s="31" t="s">
        <v>128</v>
      </c>
      <c r="B136" s="133">
        <v>0.0058000000000000005</v>
      </c>
      <c r="D136" s="10" t="s">
        <v>128</v>
      </c>
      <c r="E136" s="66">
        <f t="shared" si="17"/>
        <v>58.00000000000001</v>
      </c>
      <c r="G136" s="10" t="s">
        <v>128</v>
      </c>
      <c r="H136" s="66">
        <f t="shared" si="18"/>
        <v>7.482000000000001</v>
      </c>
      <c r="J136" s="10" t="s">
        <v>128</v>
      </c>
      <c r="K136" s="99">
        <f t="shared" si="19"/>
        <v>0.0007482000000000002</v>
      </c>
      <c r="M136" s="10" t="s">
        <v>143</v>
      </c>
      <c r="N136" s="68">
        <f>K151*(47.88+2*16)/47.88</f>
        <v>0.049327401503759395</v>
      </c>
      <c r="P136" s="10" t="s">
        <v>143</v>
      </c>
      <c r="Q136" s="68">
        <f t="shared" si="16"/>
        <v>0.38238295739348366</v>
      </c>
      <c r="S136" s="368" t="s">
        <v>44</v>
      </c>
      <c r="T136" s="371"/>
      <c r="U136" s="370">
        <f>Q138</f>
        <v>2.422082147264501</v>
      </c>
    </row>
    <row r="137" spans="1:21" ht="15">
      <c r="A137" s="31" t="s">
        <v>129</v>
      </c>
      <c r="B137" s="133">
        <v>0.0674</v>
      </c>
      <c r="D137" s="10" t="s">
        <v>129</v>
      </c>
      <c r="E137" s="66">
        <f t="shared" si="17"/>
        <v>674</v>
      </c>
      <c r="G137" s="10" t="s">
        <v>129</v>
      </c>
      <c r="H137" s="66">
        <f t="shared" si="18"/>
        <v>86.946</v>
      </c>
      <c r="J137" s="10" t="s">
        <v>129</v>
      </c>
      <c r="K137" s="99">
        <f t="shared" si="19"/>
        <v>0.0086946</v>
      </c>
      <c r="M137" s="10" t="s">
        <v>192</v>
      </c>
      <c r="N137" s="68">
        <f>K143*(54.94+16)/54.94</f>
        <v>0.9994095376774663</v>
      </c>
      <c r="P137" s="10" t="s">
        <v>192</v>
      </c>
      <c r="Q137" s="68">
        <f t="shared" si="16"/>
        <v>7.747360757189661</v>
      </c>
      <c r="S137" s="368" t="s">
        <v>421</v>
      </c>
      <c r="T137" s="371"/>
      <c r="U137" s="370">
        <f>Q144</f>
        <v>9.494721514379323</v>
      </c>
    </row>
    <row r="138" spans="1:21" ht="15">
      <c r="A138" s="31" t="s">
        <v>130</v>
      </c>
      <c r="B138" s="133">
        <v>0.0989</v>
      </c>
      <c r="C138" s="37"/>
      <c r="D138" s="10" t="s">
        <v>130</v>
      </c>
      <c r="E138" s="66">
        <f t="shared" si="17"/>
        <v>989</v>
      </c>
      <c r="F138" s="37"/>
      <c r="G138" s="10" t="s">
        <v>130</v>
      </c>
      <c r="H138" s="66">
        <f t="shared" si="18"/>
        <v>127.581</v>
      </c>
      <c r="I138" s="37"/>
      <c r="J138" s="10" t="s">
        <v>130</v>
      </c>
      <c r="K138" s="99">
        <f t="shared" si="19"/>
        <v>0.012758100000000001</v>
      </c>
      <c r="L138" s="37"/>
      <c r="M138" s="10" t="s">
        <v>44</v>
      </c>
      <c r="N138" s="68">
        <f>K142*(24.31+16)/24.31</f>
        <v>0.31244859699712063</v>
      </c>
      <c r="P138" s="10" t="s">
        <v>44</v>
      </c>
      <c r="Q138" s="68">
        <f t="shared" si="16"/>
        <v>2.422082147264501</v>
      </c>
      <c r="S138" s="368" t="s">
        <v>422</v>
      </c>
      <c r="T138" s="371"/>
      <c r="U138" s="370">
        <f>Q140</f>
        <v>0.757293692909961</v>
      </c>
    </row>
    <row r="139" spans="1:21" ht="15">
      <c r="A139" s="31" t="s">
        <v>51</v>
      </c>
      <c r="B139" s="133">
        <v>5.842700000000001</v>
      </c>
      <c r="C139" s="37"/>
      <c r="D139" s="10" t="s">
        <v>51</v>
      </c>
      <c r="E139" s="66">
        <f t="shared" si="17"/>
        <v>58427.00000000001</v>
      </c>
      <c r="F139" s="37"/>
      <c r="G139" s="10" t="s">
        <v>51</v>
      </c>
      <c r="H139" s="66">
        <f t="shared" si="18"/>
        <v>7537.083000000001</v>
      </c>
      <c r="I139" s="37"/>
      <c r="J139" s="10" t="s">
        <v>51</v>
      </c>
      <c r="K139" s="99">
        <f t="shared" si="19"/>
        <v>0.7537083000000002</v>
      </c>
      <c r="L139" s="37"/>
      <c r="M139" s="10" t="s">
        <v>45</v>
      </c>
      <c r="N139" s="68">
        <f>K133*(137.3+16)/137.3</f>
        <v>0.008411514056809906</v>
      </c>
      <c r="P139" s="10" t="s">
        <v>45</v>
      </c>
      <c r="Q139" s="68">
        <f t="shared" si="16"/>
        <v>0.06520553532410779</v>
      </c>
      <c r="S139" s="368" t="s">
        <v>423</v>
      </c>
      <c r="T139" s="371"/>
      <c r="U139" s="370">
        <f>Q131</f>
        <v>1.4161917985146915</v>
      </c>
    </row>
    <row r="140" spans="1:21" ht="15.75" thickBot="1">
      <c r="A140" s="31" t="s">
        <v>131</v>
      </c>
      <c r="B140" s="133">
        <v>0.0001</v>
      </c>
      <c r="C140" s="37"/>
      <c r="D140" s="10" t="s">
        <v>131</v>
      </c>
      <c r="E140" s="66">
        <f t="shared" si="17"/>
        <v>1</v>
      </c>
      <c r="F140" s="37"/>
      <c r="G140" s="10" t="s">
        <v>131</v>
      </c>
      <c r="H140" s="66">
        <f t="shared" si="18"/>
        <v>0.129</v>
      </c>
      <c r="I140" s="37"/>
      <c r="J140" s="10" t="s">
        <v>131</v>
      </c>
      <c r="K140" s="99">
        <f t="shared" si="19"/>
        <v>1.29E-05</v>
      </c>
      <c r="L140" s="37"/>
      <c r="M140" s="10" t="s">
        <v>145</v>
      </c>
      <c r="N140" s="68">
        <f>K145*(22.99*2+16)/(2*22.99)</f>
        <v>0.09769088638538496</v>
      </c>
      <c r="P140" s="10" t="s">
        <v>145</v>
      </c>
      <c r="Q140" s="68">
        <f t="shared" si="16"/>
        <v>0.757293692909961</v>
      </c>
      <c r="S140" s="372" t="s">
        <v>424</v>
      </c>
      <c r="T140" s="373"/>
      <c r="U140" s="374">
        <f>Q136</f>
        <v>0.38238295739348366</v>
      </c>
    </row>
    <row r="141" spans="1:17" ht="15">
      <c r="A141" s="31" t="s">
        <v>52</v>
      </c>
      <c r="B141" s="133">
        <v>0.9551000000000001</v>
      </c>
      <c r="C141" s="37"/>
      <c r="D141" s="10" t="s">
        <v>52</v>
      </c>
      <c r="E141" s="66">
        <f t="shared" si="17"/>
        <v>9551</v>
      </c>
      <c r="F141" s="37"/>
      <c r="G141" s="10" t="s">
        <v>52</v>
      </c>
      <c r="H141" s="66">
        <f t="shared" si="18"/>
        <v>1232.079</v>
      </c>
      <c r="I141" s="37"/>
      <c r="J141" s="10" t="s">
        <v>52</v>
      </c>
      <c r="K141" s="99">
        <f t="shared" si="19"/>
        <v>0.1232079</v>
      </c>
      <c r="L141" s="37"/>
      <c r="M141" s="12" t="s">
        <v>146</v>
      </c>
      <c r="N141" s="69">
        <f>K141*(39.1*2+16)/(39.1*2)</f>
        <v>0.14841667749360613</v>
      </c>
      <c r="P141" s="12" t="s">
        <v>146</v>
      </c>
      <c r="Q141" s="69">
        <f t="shared" si="16"/>
        <v>1.1505168797953962</v>
      </c>
    </row>
    <row r="142" spans="1:17" ht="12.75">
      <c r="A142" s="31" t="s">
        <v>53</v>
      </c>
      <c r="B142" s="133">
        <v>1.4607</v>
      </c>
      <c r="C142" s="37"/>
      <c r="D142" s="10" t="s">
        <v>53</v>
      </c>
      <c r="E142" s="66">
        <f t="shared" si="17"/>
        <v>14607.000000000002</v>
      </c>
      <c r="F142" s="37"/>
      <c r="G142" s="10" t="s">
        <v>53</v>
      </c>
      <c r="H142" s="66">
        <f t="shared" si="18"/>
        <v>1884.3030000000003</v>
      </c>
      <c r="I142" s="37"/>
      <c r="J142" s="10" t="s">
        <v>53</v>
      </c>
      <c r="K142" s="99">
        <f t="shared" si="19"/>
        <v>0.18843030000000005</v>
      </c>
      <c r="L142" s="37"/>
      <c r="M142" s="37"/>
      <c r="N142" s="37"/>
      <c r="P142" s="37"/>
      <c r="Q142" s="37"/>
    </row>
    <row r="143" spans="1:17" ht="12.75">
      <c r="A143" s="31" t="s">
        <v>54</v>
      </c>
      <c r="B143" s="133">
        <v>6</v>
      </c>
      <c r="C143" s="37"/>
      <c r="D143" s="10" t="s">
        <v>54</v>
      </c>
      <c r="E143" s="66">
        <f t="shared" si="17"/>
        <v>60000</v>
      </c>
      <c r="F143" s="37"/>
      <c r="G143" s="10" t="s">
        <v>54</v>
      </c>
      <c r="H143" s="66">
        <f t="shared" si="18"/>
        <v>7740</v>
      </c>
      <c r="I143" s="37"/>
      <c r="J143" s="10" t="s">
        <v>54</v>
      </c>
      <c r="K143" s="99">
        <f t="shared" si="19"/>
        <v>0.774</v>
      </c>
      <c r="L143" s="37"/>
      <c r="M143" s="76" t="s">
        <v>217</v>
      </c>
      <c r="P143" s="37"/>
      <c r="Q143" s="37"/>
    </row>
    <row r="144" spans="1:17" ht="15">
      <c r="A144" s="31" t="s">
        <v>132</v>
      </c>
      <c r="B144" s="133">
        <v>0.0002</v>
      </c>
      <c r="C144" s="37"/>
      <c r="D144" s="10" t="s">
        <v>132</v>
      </c>
      <c r="E144" s="66">
        <f t="shared" si="17"/>
        <v>2</v>
      </c>
      <c r="F144" s="37"/>
      <c r="G144" s="10" t="s">
        <v>132</v>
      </c>
      <c r="H144" s="66">
        <f t="shared" si="18"/>
        <v>0.258</v>
      </c>
      <c r="I144" s="37"/>
      <c r="J144" s="10" t="s">
        <v>132</v>
      </c>
      <c r="K144" s="99">
        <f t="shared" si="19"/>
        <v>2.58E-05</v>
      </c>
      <c r="L144" s="37"/>
      <c r="M144" s="224" t="s">
        <v>144</v>
      </c>
      <c r="N144" s="225">
        <f>K143*(54.94+2*16)/54.94</f>
        <v>1.2248190753549328</v>
      </c>
      <c r="P144" s="224" t="s">
        <v>144</v>
      </c>
      <c r="Q144" s="225">
        <f>N144/$B$12</f>
        <v>9.494721514379323</v>
      </c>
    </row>
    <row r="145" spans="1:17" ht="12.75">
      <c r="A145" s="31" t="s">
        <v>55</v>
      </c>
      <c r="B145" s="133">
        <v>0.5618000000000001</v>
      </c>
      <c r="C145" s="37"/>
      <c r="D145" s="10" t="s">
        <v>55</v>
      </c>
      <c r="E145" s="66">
        <f t="shared" si="17"/>
        <v>5618.000000000001</v>
      </c>
      <c r="F145" s="37"/>
      <c r="G145" s="10" t="s">
        <v>55</v>
      </c>
      <c r="H145" s="66">
        <f t="shared" si="18"/>
        <v>724.7220000000001</v>
      </c>
      <c r="I145" s="37"/>
      <c r="J145" s="10" t="s">
        <v>55</v>
      </c>
      <c r="K145" s="99">
        <f t="shared" si="19"/>
        <v>0.07247220000000001</v>
      </c>
      <c r="L145" s="37"/>
      <c r="M145" s="37"/>
      <c r="N145" s="37"/>
      <c r="O145" s="37"/>
      <c r="P145" s="37"/>
      <c r="Q145" s="37"/>
    </row>
    <row r="146" spans="1:17" ht="12.75">
      <c r="A146" s="31" t="s">
        <v>133</v>
      </c>
      <c r="B146" s="133">
        <v>0.0494</v>
      </c>
      <c r="C146" s="37"/>
      <c r="D146" s="10" t="s">
        <v>133</v>
      </c>
      <c r="E146" s="66">
        <f t="shared" si="17"/>
        <v>494</v>
      </c>
      <c r="F146" s="37"/>
      <c r="G146" s="10" t="s">
        <v>133</v>
      </c>
      <c r="H146" s="66">
        <f t="shared" si="18"/>
        <v>63.726</v>
      </c>
      <c r="I146" s="37"/>
      <c r="J146" s="10" t="s">
        <v>133</v>
      </c>
      <c r="K146" s="99">
        <f t="shared" si="19"/>
        <v>0.0063726</v>
      </c>
      <c r="L146" s="37"/>
      <c r="M146" s="37"/>
      <c r="N146" s="37"/>
      <c r="O146" s="37"/>
      <c r="P146" s="37"/>
      <c r="Q146" s="37"/>
    </row>
    <row r="147" spans="1:17" ht="12.75">
      <c r="A147" s="31" t="s">
        <v>56</v>
      </c>
      <c r="B147" s="133">
        <v>0.618</v>
      </c>
      <c r="C147" s="37"/>
      <c r="D147" s="10" t="s">
        <v>56</v>
      </c>
      <c r="E147" s="66">
        <f t="shared" si="17"/>
        <v>6180</v>
      </c>
      <c r="F147" s="37"/>
      <c r="G147" s="10" t="s">
        <v>56</v>
      </c>
      <c r="H147" s="66">
        <f t="shared" si="18"/>
        <v>797.22</v>
      </c>
      <c r="I147" s="37"/>
      <c r="J147" s="10" t="s">
        <v>56</v>
      </c>
      <c r="K147" s="99">
        <f t="shared" si="19"/>
        <v>0.079722</v>
      </c>
      <c r="L147" s="37"/>
      <c r="M147" s="37"/>
      <c r="N147" s="37"/>
      <c r="O147" s="37"/>
      <c r="P147" s="37"/>
      <c r="Q147" s="37"/>
    </row>
    <row r="148" spans="1:17" ht="12.75">
      <c r="A148" s="31" t="s">
        <v>134</v>
      </c>
      <c r="B148" s="133">
        <v>0.0393</v>
      </c>
      <c r="C148" s="37"/>
      <c r="D148" s="10" t="s">
        <v>134</v>
      </c>
      <c r="E148" s="66">
        <f t="shared" si="17"/>
        <v>393</v>
      </c>
      <c r="F148" s="37"/>
      <c r="G148" s="10" t="s">
        <v>134</v>
      </c>
      <c r="H148" s="66">
        <f t="shared" si="18"/>
        <v>50.697</v>
      </c>
      <c r="I148" s="37"/>
      <c r="J148" s="10" t="s">
        <v>134</v>
      </c>
      <c r="K148" s="99">
        <f t="shared" si="19"/>
        <v>0.005069700000000001</v>
      </c>
      <c r="L148" s="37"/>
      <c r="M148" s="37"/>
      <c r="N148" s="37"/>
      <c r="O148" s="37"/>
      <c r="P148" s="37"/>
      <c r="Q148" s="37"/>
    </row>
    <row r="149" spans="1:17" ht="12.75">
      <c r="A149" s="31" t="s">
        <v>135</v>
      </c>
      <c r="B149" s="133">
        <v>0.0024000000000000002</v>
      </c>
      <c r="C149" s="37"/>
      <c r="D149" s="10" t="s">
        <v>135</v>
      </c>
      <c r="E149" s="66">
        <f t="shared" si="17"/>
        <v>24.000000000000004</v>
      </c>
      <c r="F149" s="37"/>
      <c r="G149" s="10" t="s">
        <v>135</v>
      </c>
      <c r="H149" s="66">
        <f t="shared" si="18"/>
        <v>3.0960000000000005</v>
      </c>
      <c r="I149" s="37"/>
      <c r="J149" s="10" t="s">
        <v>135</v>
      </c>
      <c r="K149" s="99">
        <f t="shared" si="19"/>
        <v>0.00030960000000000004</v>
      </c>
      <c r="L149" s="37"/>
      <c r="M149" s="37"/>
      <c r="N149" s="37"/>
      <c r="O149" s="37"/>
      <c r="P149" s="37"/>
      <c r="Q149" s="37"/>
    </row>
    <row r="150" spans="1:17" ht="12.75">
      <c r="A150" s="31" t="s">
        <v>57</v>
      </c>
      <c r="B150" s="133">
        <v>13.4831</v>
      </c>
      <c r="C150" s="37"/>
      <c r="D150" s="10" t="s">
        <v>57</v>
      </c>
      <c r="E150" s="66">
        <f t="shared" si="17"/>
        <v>134831</v>
      </c>
      <c r="F150" s="37"/>
      <c r="G150" s="10" t="s">
        <v>57</v>
      </c>
      <c r="H150" s="66">
        <f t="shared" si="18"/>
        <v>17393.199</v>
      </c>
      <c r="I150" s="37"/>
      <c r="J150" s="10" t="s">
        <v>57</v>
      </c>
      <c r="K150" s="99">
        <f t="shared" si="19"/>
        <v>1.7393199000000001</v>
      </c>
      <c r="L150" s="37"/>
      <c r="M150" s="37"/>
      <c r="N150" s="37"/>
      <c r="O150" s="37"/>
      <c r="P150" s="37"/>
      <c r="Q150" s="37"/>
    </row>
    <row r="151" spans="1:17" ht="12.75">
      <c r="A151" s="31" t="s">
        <v>58</v>
      </c>
      <c r="B151" s="133">
        <v>0.22920000000000001</v>
      </c>
      <c r="C151" s="37"/>
      <c r="D151" s="10" t="s">
        <v>58</v>
      </c>
      <c r="E151" s="66">
        <f t="shared" si="17"/>
        <v>2292</v>
      </c>
      <c r="F151" s="37"/>
      <c r="G151" s="10" t="s">
        <v>58</v>
      </c>
      <c r="H151" s="66">
        <f t="shared" si="18"/>
        <v>295.668</v>
      </c>
      <c r="I151" s="37"/>
      <c r="J151" s="10" t="s">
        <v>58</v>
      </c>
      <c r="K151" s="99">
        <f t="shared" si="19"/>
        <v>0.0295668</v>
      </c>
      <c r="L151" s="37"/>
      <c r="M151" s="37"/>
      <c r="N151" s="37"/>
      <c r="O151" s="37"/>
      <c r="P151" s="37"/>
      <c r="Q151" s="37"/>
    </row>
    <row r="152" spans="1:17" ht="12.75">
      <c r="A152" s="31" t="s">
        <v>136</v>
      </c>
      <c r="B152" s="133">
        <v>0.0002</v>
      </c>
      <c r="C152" s="37"/>
      <c r="D152" s="10" t="s">
        <v>136</v>
      </c>
      <c r="E152" s="66">
        <f t="shared" si="17"/>
        <v>2</v>
      </c>
      <c r="F152" s="37"/>
      <c r="G152" s="10" t="s">
        <v>136</v>
      </c>
      <c r="H152" s="66">
        <f t="shared" si="18"/>
        <v>0.258</v>
      </c>
      <c r="I152" s="37"/>
      <c r="J152" s="10" t="s">
        <v>136</v>
      </c>
      <c r="K152" s="99">
        <f t="shared" si="19"/>
        <v>2.58E-05</v>
      </c>
      <c r="L152" s="37"/>
      <c r="M152" s="37"/>
      <c r="N152" s="37"/>
      <c r="O152" s="37"/>
      <c r="P152" s="37"/>
      <c r="Q152" s="37"/>
    </row>
    <row r="153" spans="1:17" ht="12.75">
      <c r="A153" s="31" t="s">
        <v>137</v>
      </c>
      <c r="B153" s="133">
        <v>0.0028</v>
      </c>
      <c r="C153" s="37"/>
      <c r="D153" s="10" t="s">
        <v>137</v>
      </c>
      <c r="E153" s="66">
        <f t="shared" si="17"/>
        <v>28</v>
      </c>
      <c r="F153" s="37"/>
      <c r="G153" s="10" t="s">
        <v>137</v>
      </c>
      <c r="H153" s="66">
        <f t="shared" si="18"/>
        <v>3.612</v>
      </c>
      <c r="I153" s="37"/>
      <c r="J153" s="10" t="s">
        <v>137</v>
      </c>
      <c r="K153" s="99">
        <f t="shared" si="19"/>
        <v>0.00036120000000000005</v>
      </c>
      <c r="L153" s="37"/>
      <c r="M153" s="37"/>
      <c r="N153" s="37"/>
      <c r="O153" s="37"/>
      <c r="P153" s="37"/>
      <c r="Q153" s="37"/>
    </row>
    <row r="154" spans="1:17" ht="12.75">
      <c r="A154" s="23" t="s">
        <v>138</v>
      </c>
      <c r="B154" s="173">
        <v>0.21350000000000002</v>
      </c>
      <c r="C154" s="37"/>
      <c r="D154" s="12" t="s">
        <v>138</v>
      </c>
      <c r="E154" s="67">
        <f>B154*10^4</f>
        <v>2135.0000000000005</v>
      </c>
      <c r="F154" s="37"/>
      <c r="G154" s="12" t="s">
        <v>138</v>
      </c>
      <c r="H154" s="67">
        <f t="shared" si="18"/>
        <v>275.4150000000001</v>
      </c>
      <c r="I154" s="37"/>
      <c r="J154" s="12" t="s">
        <v>138</v>
      </c>
      <c r="K154" s="124">
        <f t="shared" si="19"/>
        <v>0.02754150000000001</v>
      </c>
      <c r="L154" s="37"/>
      <c r="M154" s="37"/>
      <c r="N154" s="37"/>
      <c r="O154" s="37"/>
      <c r="P154" s="37"/>
      <c r="Q154" s="37"/>
    </row>
    <row r="155" spans="1:17" ht="12.75">
      <c r="A155" s="76"/>
      <c r="B155" s="120"/>
      <c r="D155" s="70"/>
      <c r="E155" s="37"/>
      <c r="G155" s="37"/>
      <c r="H155" s="37"/>
      <c r="J155" s="37"/>
      <c r="K155" s="37"/>
      <c r="M155" s="37"/>
      <c r="N155" s="37"/>
      <c r="P155" s="37"/>
      <c r="Q155" s="37"/>
    </row>
    <row r="156" spans="1:17" ht="18.75" customHeight="1">
      <c r="A156" s="49" t="s">
        <v>191</v>
      </c>
      <c r="B156" s="120"/>
      <c r="D156" s="70"/>
      <c r="E156" s="37"/>
      <c r="G156" s="37"/>
      <c r="H156" s="37"/>
      <c r="J156" s="37"/>
      <c r="K156" s="37"/>
      <c r="M156" s="37"/>
      <c r="N156" s="37"/>
      <c r="P156" s="37"/>
      <c r="Q156" s="37"/>
    </row>
    <row r="157" spans="3:36" s="37" customFormat="1" ht="12.75">
      <c r="C157" s="70"/>
      <c r="F157" s="70"/>
      <c r="I157" s="70"/>
      <c r="L157" s="70"/>
      <c r="O157" s="70"/>
      <c r="AB157"/>
      <c r="AC157"/>
      <c r="AD157"/>
      <c r="AE157"/>
      <c r="AF157"/>
      <c r="AG157"/>
      <c r="AH157"/>
      <c r="AI157"/>
      <c r="AJ157"/>
    </row>
    <row r="158" spans="1:17" ht="15">
      <c r="A158" s="14" t="s">
        <v>13</v>
      </c>
      <c r="B158" s="16"/>
      <c r="D158" s="63" t="s">
        <v>6</v>
      </c>
      <c r="E158" s="64"/>
      <c r="G158" s="63" t="s">
        <v>6</v>
      </c>
      <c r="H158" s="64"/>
      <c r="J158" s="63" t="s">
        <v>6</v>
      </c>
      <c r="K158" s="64"/>
      <c r="M158" s="63" t="s">
        <v>6</v>
      </c>
      <c r="N158" s="64"/>
      <c r="P158" s="63" t="s">
        <v>6</v>
      </c>
      <c r="Q158" s="64"/>
    </row>
    <row r="159" spans="1:17" ht="15">
      <c r="A159" s="20" t="s">
        <v>66</v>
      </c>
      <c r="B159" s="19"/>
      <c r="D159" s="258" t="str">
        <f>IF(SUM($N$161:$N$172)&gt;($B$12*100),"Orimlig summa!"," ")</f>
        <v> </v>
      </c>
      <c r="E159" s="65"/>
      <c r="G159" s="258" t="str">
        <f>IF(SUM($N$161:$N$172)&gt;($B$12*100),"Orimlig summa!"," ")</f>
        <v> </v>
      </c>
      <c r="H159" s="65"/>
      <c r="J159" s="258" t="str">
        <f>IF(SUM($N$161:$N$172)&gt;($B$12*100),"Orimlig summa!"," ")</f>
        <v> </v>
      </c>
      <c r="K159" s="65"/>
      <c r="M159" s="258" t="str">
        <f>IF(SUM($N$161:$N$172)&gt;($B$12*100),"Orimlig summa!"," ")</f>
        <v> </v>
      </c>
      <c r="N159" s="65"/>
      <c r="P159" s="258" t="str">
        <f>IF(SUM($N$161:$N$172)&gt;($B$12*100),"Orimlig summa!"," ")</f>
        <v> </v>
      </c>
      <c r="Q159" s="65"/>
    </row>
    <row r="160" spans="1:17" ht="12.75">
      <c r="A160" s="20" t="s">
        <v>47</v>
      </c>
      <c r="B160" s="19"/>
      <c r="D160" s="9" t="s">
        <v>59</v>
      </c>
      <c r="E160" s="65"/>
      <c r="G160" s="9" t="s">
        <v>47</v>
      </c>
      <c r="H160" s="65"/>
      <c r="J160" s="9" t="s">
        <v>85</v>
      </c>
      <c r="K160" s="65"/>
      <c r="M160" s="9" t="s">
        <v>86</v>
      </c>
      <c r="N160" s="65"/>
      <c r="P160" s="9" t="s">
        <v>86</v>
      </c>
      <c r="Q160" s="65"/>
    </row>
    <row r="161" spans="1:17" ht="15">
      <c r="A161" s="31" t="s">
        <v>139</v>
      </c>
      <c r="B161" s="130">
        <v>5.31</v>
      </c>
      <c r="C161" s="76"/>
      <c r="D161" s="10" t="s">
        <v>48</v>
      </c>
      <c r="E161" s="66">
        <f>(B163*2*26.98/(2*26.98+3*16))*10^4</f>
        <v>23338.917222440174</v>
      </c>
      <c r="F161" s="120"/>
      <c r="G161" s="10" t="s">
        <v>48</v>
      </c>
      <c r="H161" s="99">
        <f aca="true" t="shared" si="20" ref="H161:H172">E161*10^(-4)</f>
        <v>2.3338917222440174</v>
      </c>
      <c r="I161" s="122"/>
      <c r="J161" s="10" t="s">
        <v>48</v>
      </c>
      <c r="K161" s="66">
        <f>E161*$B$12</f>
        <v>3010.7203216947823</v>
      </c>
      <c r="L161" s="120"/>
      <c r="M161" s="10" t="s">
        <v>48</v>
      </c>
      <c r="N161" s="99">
        <f>K161*10^(-4)</f>
        <v>0.30107203216947825</v>
      </c>
      <c r="P161" s="10" t="s">
        <v>139</v>
      </c>
      <c r="Q161" s="68">
        <f aca="true" t="shared" si="21" ref="Q161:Q171">B161*$B$12</f>
        <v>0.68499</v>
      </c>
    </row>
    <row r="162" spans="1:17" ht="15">
      <c r="A162" s="31" t="s">
        <v>140</v>
      </c>
      <c r="B162" s="130">
        <v>33.2</v>
      </c>
      <c r="D162" s="10" t="s">
        <v>49</v>
      </c>
      <c r="E162" s="66">
        <f>(B170*137.3/(137.3+16))*10^4</f>
        <v>0</v>
      </c>
      <c r="F162" s="120"/>
      <c r="G162" s="10" t="s">
        <v>49</v>
      </c>
      <c r="H162" s="99">
        <f t="shared" si="20"/>
        <v>0</v>
      </c>
      <c r="I162" s="122"/>
      <c r="J162" s="10" t="s">
        <v>49</v>
      </c>
      <c r="K162" s="66">
        <f aca="true" t="shared" si="22" ref="K162:K172">E162*$B$12</f>
        <v>0</v>
      </c>
      <c r="L162" s="120"/>
      <c r="M162" s="10" t="s">
        <v>49</v>
      </c>
      <c r="N162" s="99">
        <f aca="true" t="shared" si="23" ref="N162:N172">K162*10^(-4)</f>
        <v>0</v>
      </c>
      <c r="P162" s="10" t="s">
        <v>140</v>
      </c>
      <c r="Q162" s="68">
        <f t="shared" si="21"/>
        <v>4.282800000000001</v>
      </c>
    </row>
    <row r="163" spans="1:17" ht="15">
      <c r="A163" s="31" t="s">
        <v>141</v>
      </c>
      <c r="B163" s="130">
        <v>4.41</v>
      </c>
      <c r="D163" s="10" t="s">
        <v>50</v>
      </c>
      <c r="E163" s="66">
        <f>(B164*40.08/(40.08+16))*10^4</f>
        <v>158661.91155492153</v>
      </c>
      <c r="F163" s="120"/>
      <c r="G163" s="10" t="s">
        <v>50</v>
      </c>
      <c r="H163" s="99">
        <f t="shared" si="20"/>
        <v>15.866191155492155</v>
      </c>
      <c r="I163" s="122"/>
      <c r="J163" s="10" t="s">
        <v>50</v>
      </c>
      <c r="K163" s="66">
        <f t="shared" si="22"/>
        <v>20467.38659058488</v>
      </c>
      <c r="L163" s="120"/>
      <c r="M163" s="10" t="s">
        <v>50</v>
      </c>
      <c r="N163" s="99">
        <f t="shared" si="23"/>
        <v>2.046738659058488</v>
      </c>
      <c r="P163" s="10" t="s">
        <v>141</v>
      </c>
      <c r="Q163" s="68">
        <f t="shared" si="21"/>
        <v>0.56889</v>
      </c>
    </row>
    <row r="164" spans="1:17" ht="12.75">
      <c r="A164" s="31" t="s">
        <v>43</v>
      </c>
      <c r="B164" s="130">
        <v>22.2</v>
      </c>
      <c r="D164" s="10" t="s">
        <v>51</v>
      </c>
      <c r="E164" s="66">
        <f>(B165*55.85*2/(55.85*2+3*16))*10^4</f>
        <v>21752.473387601756</v>
      </c>
      <c r="F164" s="120"/>
      <c r="G164" s="10" t="s">
        <v>51</v>
      </c>
      <c r="H164" s="99">
        <f t="shared" si="20"/>
        <v>2.1752473387601756</v>
      </c>
      <c r="I164" s="122"/>
      <c r="J164" s="10" t="s">
        <v>51</v>
      </c>
      <c r="K164" s="66">
        <f t="shared" si="22"/>
        <v>2806.0690670006265</v>
      </c>
      <c r="L164" s="120"/>
      <c r="M164" s="10" t="s">
        <v>51</v>
      </c>
      <c r="N164" s="99">
        <f t="shared" si="23"/>
        <v>0.28060690670006266</v>
      </c>
      <c r="P164" s="10" t="s">
        <v>43</v>
      </c>
      <c r="Q164" s="68">
        <f t="shared" si="21"/>
        <v>2.8638</v>
      </c>
    </row>
    <row r="165" spans="1:17" ht="15">
      <c r="A165" s="31" t="s">
        <v>142</v>
      </c>
      <c r="B165" s="130">
        <v>3.11</v>
      </c>
      <c r="D165" s="10" t="s">
        <v>52</v>
      </c>
      <c r="E165" s="66">
        <f>(B172*39.1*2/(39.1*2+16))*10^4</f>
        <v>102938.42887473461</v>
      </c>
      <c r="F165" s="120"/>
      <c r="G165" s="10" t="s">
        <v>52</v>
      </c>
      <c r="H165" s="99">
        <f t="shared" si="20"/>
        <v>10.293842887473462</v>
      </c>
      <c r="I165" s="122"/>
      <c r="J165" s="10" t="s">
        <v>52</v>
      </c>
      <c r="K165" s="66">
        <f t="shared" si="22"/>
        <v>13279.057324840765</v>
      </c>
      <c r="L165" s="120"/>
      <c r="M165" s="10" t="s">
        <v>52</v>
      </c>
      <c r="N165" s="99">
        <f t="shared" si="23"/>
        <v>1.3279057324840766</v>
      </c>
      <c r="P165" s="10" t="s">
        <v>142</v>
      </c>
      <c r="Q165" s="68">
        <f t="shared" si="21"/>
        <v>0.40119</v>
      </c>
    </row>
    <row r="166" spans="1:17" ht="15">
      <c r="A166" s="31" t="s">
        <v>143</v>
      </c>
      <c r="B166" s="130">
        <v>0.148</v>
      </c>
      <c r="D166" s="10" t="s">
        <v>53</v>
      </c>
      <c r="E166" s="66">
        <f>(B169*24.31/(24.31+16))*10^4</f>
        <v>18815.976184569587</v>
      </c>
      <c r="F166" s="120"/>
      <c r="G166" s="10" t="s">
        <v>53</v>
      </c>
      <c r="H166" s="99">
        <f t="shared" si="20"/>
        <v>1.8815976184569587</v>
      </c>
      <c r="I166" s="122"/>
      <c r="J166" s="10" t="s">
        <v>53</v>
      </c>
      <c r="K166" s="66">
        <f t="shared" si="22"/>
        <v>2427.260927809477</v>
      </c>
      <c r="L166" s="120"/>
      <c r="M166" s="10" t="s">
        <v>53</v>
      </c>
      <c r="N166" s="99">
        <f t="shared" si="23"/>
        <v>0.2427260927809477</v>
      </c>
      <c r="P166" s="10" t="s">
        <v>143</v>
      </c>
      <c r="Q166" s="68">
        <f t="shared" si="21"/>
        <v>0.019091999999999998</v>
      </c>
    </row>
    <row r="167" spans="1:17" ht="12.75">
      <c r="A167" s="31" t="s">
        <v>192</v>
      </c>
      <c r="B167" s="130"/>
      <c r="D167" s="10" t="s">
        <v>54</v>
      </c>
      <c r="E167" s="66">
        <f>(B167*54.94/(54.94+16))*10^4</f>
        <v>0</v>
      </c>
      <c r="F167" s="120"/>
      <c r="G167" s="10" t="s">
        <v>54</v>
      </c>
      <c r="H167" s="99">
        <f t="shared" si="20"/>
        <v>0</v>
      </c>
      <c r="I167" s="122"/>
      <c r="J167" s="10" t="s">
        <v>54</v>
      </c>
      <c r="K167" s="66">
        <f t="shared" si="22"/>
        <v>0</v>
      </c>
      <c r="L167" s="120"/>
      <c r="M167" s="10" t="s">
        <v>54</v>
      </c>
      <c r="N167" s="99">
        <f t="shared" si="23"/>
        <v>0</v>
      </c>
      <c r="P167" s="10" t="s">
        <v>192</v>
      </c>
      <c r="Q167" s="68">
        <f t="shared" si="21"/>
        <v>0</v>
      </c>
    </row>
    <row r="168" spans="1:17" ht="15">
      <c r="A168" s="31" t="s">
        <v>218</v>
      </c>
      <c r="B168" s="230">
        <v>2.1</v>
      </c>
      <c r="D168" s="10" t="s">
        <v>219</v>
      </c>
      <c r="E168" s="66">
        <f>(B168*54.94/(54.94+16*2))*10^4</f>
        <v>13270.531400966183</v>
      </c>
      <c r="F168" s="120"/>
      <c r="G168" s="10" t="s">
        <v>219</v>
      </c>
      <c r="H168" s="99">
        <f t="shared" si="20"/>
        <v>1.3270531400966183</v>
      </c>
      <c r="J168" s="10" t="s">
        <v>219</v>
      </c>
      <c r="K168" s="66">
        <f t="shared" si="22"/>
        <v>1711.8985507246377</v>
      </c>
      <c r="L168" s="122"/>
      <c r="M168" s="10" t="s">
        <v>219</v>
      </c>
      <c r="N168" s="99">
        <f t="shared" si="23"/>
        <v>0.1711898550724638</v>
      </c>
      <c r="O168" s="120"/>
      <c r="P168" s="10" t="s">
        <v>218</v>
      </c>
      <c r="Q168" s="68">
        <f t="shared" si="21"/>
        <v>0.27090000000000003</v>
      </c>
    </row>
    <row r="169" spans="1:17" ht="12.75">
      <c r="A169" s="31" t="s">
        <v>44</v>
      </c>
      <c r="B169" s="130">
        <v>3.12</v>
      </c>
      <c r="D169" s="10" t="s">
        <v>55</v>
      </c>
      <c r="E169" s="66">
        <f>(B171*22.99*2/(22.99*2+16))*10^4</f>
        <v>7225.640529202968</v>
      </c>
      <c r="F169" s="120"/>
      <c r="G169" s="10" t="s">
        <v>55</v>
      </c>
      <c r="H169" s="99">
        <f t="shared" si="20"/>
        <v>0.7225640529202968</v>
      </c>
      <c r="I169" s="122"/>
      <c r="J169" s="10" t="s">
        <v>55</v>
      </c>
      <c r="K169" s="66">
        <f t="shared" si="22"/>
        <v>932.1076282671828</v>
      </c>
      <c r="L169" s="120"/>
      <c r="M169" s="10" t="s">
        <v>55</v>
      </c>
      <c r="N169" s="99">
        <f t="shared" si="23"/>
        <v>0.09321076282671828</v>
      </c>
      <c r="P169" s="10" t="s">
        <v>44</v>
      </c>
      <c r="Q169" s="68">
        <f>B169*$B$12</f>
        <v>0.40248</v>
      </c>
    </row>
    <row r="170" spans="1:17" ht="12.75">
      <c r="A170" s="31" t="s">
        <v>45</v>
      </c>
      <c r="B170" s="130">
        <v>0</v>
      </c>
      <c r="D170" s="10" t="s">
        <v>56</v>
      </c>
      <c r="E170" s="66">
        <f>(B161*2*30.97/(2*30.97+5*16))*10^4</f>
        <v>23171.86134986614</v>
      </c>
      <c r="F170" s="120"/>
      <c r="G170" s="10" t="s">
        <v>56</v>
      </c>
      <c r="H170" s="99">
        <f t="shared" si="20"/>
        <v>2.3171861349866143</v>
      </c>
      <c r="I170" s="122"/>
      <c r="J170" s="10" t="s">
        <v>56</v>
      </c>
      <c r="K170" s="66">
        <f t="shared" si="22"/>
        <v>2989.170114132732</v>
      </c>
      <c r="L170" s="120"/>
      <c r="M170" s="10" t="s">
        <v>56</v>
      </c>
      <c r="N170" s="99">
        <f t="shared" si="23"/>
        <v>0.2989170114132732</v>
      </c>
      <c r="P170" s="10" t="s">
        <v>45</v>
      </c>
      <c r="Q170" s="68">
        <f t="shared" si="21"/>
        <v>0</v>
      </c>
    </row>
    <row r="171" spans="1:17" ht="15">
      <c r="A171" s="31" t="s">
        <v>145</v>
      </c>
      <c r="B171" s="130">
        <v>0.974</v>
      </c>
      <c r="D171" s="10" t="s">
        <v>57</v>
      </c>
      <c r="E171" s="66">
        <f>(B162*28.09/(28.09+2*16))*10^4</f>
        <v>155198.5355300383</v>
      </c>
      <c r="F171" s="120"/>
      <c r="G171" s="10" t="s">
        <v>57</v>
      </c>
      <c r="H171" s="99">
        <f t="shared" si="20"/>
        <v>15.51985355300383</v>
      </c>
      <c r="I171" s="122"/>
      <c r="J171" s="10" t="s">
        <v>57</v>
      </c>
      <c r="K171" s="66">
        <f t="shared" si="22"/>
        <v>20020.61108337494</v>
      </c>
      <c r="L171" s="120"/>
      <c r="M171" s="10" t="s">
        <v>57</v>
      </c>
      <c r="N171" s="99">
        <f t="shared" si="23"/>
        <v>2.002061108337494</v>
      </c>
      <c r="P171" s="10" t="s">
        <v>145</v>
      </c>
      <c r="Q171" s="68">
        <f t="shared" si="21"/>
        <v>0.125646</v>
      </c>
    </row>
    <row r="172" spans="1:17" ht="15">
      <c r="A172" s="23" t="s">
        <v>146</v>
      </c>
      <c r="B172" s="131">
        <v>12.4</v>
      </c>
      <c r="D172" s="12" t="s">
        <v>58</v>
      </c>
      <c r="E172" s="67">
        <f>(B166*47.88/(47.88+2*16))*10^4</f>
        <v>887.1106659989986</v>
      </c>
      <c r="F172" s="120"/>
      <c r="G172" s="12" t="s">
        <v>58</v>
      </c>
      <c r="H172" s="124">
        <f t="shared" si="20"/>
        <v>0.08871106659989986</v>
      </c>
      <c r="I172" s="122"/>
      <c r="J172" s="12" t="s">
        <v>58</v>
      </c>
      <c r="K172" s="67">
        <f t="shared" si="22"/>
        <v>114.43727591387082</v>
      </c>
      <c r="L172" s="120"/>
      <c r="M172" s="12" t="s">
        <v>58</v>
      </c>
      <c r="N172" s="124">
        <f t="shared" si="23"/>
        <v>0.011443727591387082</v>
      </c>
      <c r="P172" s="12" t="s">
        <v>146</v>
      </c>
      <c r="Q172" s="69">
        <f>B172*$B$12</f>
        <v>1.5996000000000001</v>
      </c>
    </row>
    <row r="173" spans="1:17" ht="12.75">
      <c r="A173" s="76"/>
      <c r="B173" s="70"/>
      <c r="D173" s="76"/>
      <c r="E173" s="70"/>
      <c r="G173" s="70"/>
      <c r="H173" s="70"/>
      <c r="J173" s="70"/>
      <c r="K173" s="70"/>
      <c r="M173" s="70"/>
      <c r="N173" s="70"/>
      <c r="P173" s="76"/>
      <c r="Q173" s="193"/>
    </row>
    <row r="174" spans="1:17" ht="12.75">
      <c r="A174" s="76"/>
      <c r="B174" s="226"/>
      <c r="D174" s="76"/>
      <c r="E174" s="120"/>
      <c r="G174" s="70"/>
      <c r="H174" s="70"/>
      <c r="J174" s="70"/>
      <c r="K174" s="70"/>
      <c r="M174" s="76"/>
      <c r="N174" s="121"/>
      <c r="P174" s="76"/>
      <c r="Q174" s="121"/>
    </row>
    <row r="175" spans="1:36" s="37" customFormat="1" ht="12.75">
      <c r="A175" s="70"/>
      <c r="B175" s="70"/>
      <c r="C175" s="70"/>
      <c r="F175" s="70"/>
      <c r="I175" s="70"/>
      <c r="L175" s="70"/>
      <c r="O175" s="70"/>
      <c r="AB175"/>
      <c r="AC175"/>
      <c r="AD175"/>
      <c r="AE175"/>
      <c r="AF175"/>
      <c r="AG175"/>
      <c r="AH175"/>
      <c r="AI175"/>
      <c r="AJ175"/>
    </row>
    <row r="176" spans="3:36" s="37" customFormat="1" ht="12.75">
      <c r="C176" s="70"/>
      <c r="F176" s="70"/>
      <c r="I176" s="70"/>
      <c r="L176" s="70"/>
      <c r="O176" s="70"/>
      <c r="AB176"/>
      <c r="AC176"/>
      <c r="AD176"/>
      <c r="AE176"/>
      <c r="AF176"/>
      <c r="AG176"/>
      <c r="AH176"/>
      <c r="AI176"/>
      <c r="AJ176"/>
    </row>
    <row r="177" spans="3:36" s="37" customFormat="1" ht="12.75">
      <c r="C177" s="70"/>
      <c r="F177" s="70"/>
      <c r="I177" s="70"/>
      <c r="L177" s="70"/>
      <c r="O177" s="70"/>
      <c r="AB177"/>
      <c r="AC177"/>
      <c r="AD177"/>
      <c r="AE177"/>
      <c r="AF177"/>
      <c r="AG177"/>
      <c r="AH177"/>
      <c r="AI177"/>
      <c r="AJ177"/>
    </row>
    <row r="178" spans="3:15" s="37" customFormat="1" ht="12.75">
      <c r="C178" s="70"/>
      <c r="F178" s="70"/>
      <c r="I178" s="70"/>
      <c r="L178" s="70"/>
      <c r="O178" s="70"/>
    </row>
    <row r="179" spans="3:15" s="37" customFormat="1" ht="12.75">
      <c r="C179" s="70"/>
      <c r="F179" s="70"/>
      <c r="I179" s="70"/>
      <c r="L179" s="70"/>
      <c r="O179" s="70"/>
    </row>
    <row r="180" spans="3:15" s="37" customFormat="1" ht="12.75">
      <c r="C180" s="70"/>
      <c r="F180" s="70"/>
      <c r="I180" s="70"/>
      <c r="L180" s="70"/>
      <c r="O180" s="70"/>
    </row>
    <row r="181" spans="3:15" s="37" customFormat="1" ht="12.75">
      <c r="C181" s="70"/>
      <c r="F181" s="70"/>
      <c r="I181" s="70"/>
      <c r="L181" s="70"/>
      <c r="O181" s="70"/>
    </row>
    <row r="182" spans="3:15" s="37" customFormat="1" ht="12.75">
      <c r="C182" s="70"/>
      <c r="F182" s="70"/>
      <c r="I182" s="70"/>
      <c r="L182" s="70"/>
      <c r="O182" s="70"/>
    </row>
    <row r="183" spans="3:15" s="37" customFormat="1" ht="12.75">
      <c r="C183" s="70"/>
      <c r="F183" s="70"/>
      <c r="I183" s="70"/>
      <c r="L183" s="70"/>
      <c r="O183" s="70"/>
    </row>
    <row r="184" spans="3:15" s="37" customFormat="1" ht="12.75">
      <c r="C184" s="70"/>
      <c r="F184" s="70"/>
      <c r="I184" s="70"/>
      <c r="L184" s="70"/>
      <c r="O184" s="70"/>
    </row>
    <row r="185" spans="3:15" s="37" customFormat="1" ht="12.75">
      <c r="C185" s="70"/>
      <c r="F185" s="70"/>
      <c r="I185" s="70"/>
      <c r="L185" s="70"/>
      <c r="O185" s="70"/>
    </row>
    <row r="186" spans="3:15" s="37" customFormat="1" ht="12.75">
      <c r="C186" s="70"/>
      <c r="F186" s="70"/>
      <c r="I186" s="70"/>
      <c r="L186" s="70"/>
      <c r="O186" s="70"/>
    </row>
    <row r="187" spans="3:15" s="37" customFormat="1" ht="12.75">
      <c r="C187" s="70"/>
      <c r="F187" s="70"/>
      <c r="I187" s="70"/>
      <c r="L187" s="70"/>
      <c r="O187" s="70"/>
    </row>
    <row r="188" spans="3:15" s="37" customFormat="1" ht="12.75">
      <c r="C188" s="70"/>
      <c r="F188" s="70"/>
      <c r="I188" s="70"/>
      <c r="L188" s="70"/>
      <c r="O188" s="70"/>
    </row>
    <row r="189" spans="3:15" s="37" customFormat="1" ht="12.75">
      <c r="C189" s="70"/>
      <c r="F189" s="70"/>
      <c r="I189" s="70"/>
      <c r="L189" s="70"/>
      <c r="O189" s="70"/>
    </row>
    <row r="190" spans="3:15" s="37" customFormat="1" ht="12.75">
      <c r="C190" s="70"/>
      <c r="F190" s="70"/>
      <c r="I190" s="70"/>
      <c r="L190" s="70"/>
      <c r="O190" s="70"/>
    </row>
    <row r="191" spans="3:15" s="37" customFormat="1" ht="12.75">
      <c r="C191" s="70"/>
      <c r="F191" s="70"/>
      <c r="I191" s="70"/>
      <c r="L191" s="70"/>
      <c r="O191" s="70"/>
    </row>
    <row r="192" spans="3:15" s="37" customFormat="1" ht="12.75">
      <c r="C192" s="70"/>
      <c r="F192" s="70"/>
      <c r="I192" s="70"/>
      <c r="L192" s="70"/>
      <c r="O192" s="70"/>
    </row>
    <row r="193" spans="3:15" s="37" customFormat="1" ht="12.75">
      <c r="C193" s="70"/>
      <c r="F193" s="70"/>
      <c r="I193" s="70"/>
      <c r="L193" s="70"/>
      <c r="O193" s="70"/>
    </row>
    <row r="194" spans="3:15" s="37" customFormat="1" ht="12.75">
      <c r="C194" s="70"/>
      <c r="F194" s="70"/>
      <c r="I194" s="70"/>
      <c r="L194" s="70"/>
      <c r="O194" s="70"/>
    </row>
    <row r="195" spans="3:15" s="37" customFormat="1" ht="12.75">
      <c r="C195" s="70"/>
      <c r="F195" s="70"/>
      <c r="I195" s="70"/>
      <c r="L195" s="70"/>
      <c r="O195" s="70"/>
    </row>
    <row r="196" spans="3:15" s="37" customFormat="1" ht="12.75">
      <c r="C196" s="70"/>
      <c r="F196" s="70"/>
      <c r="I196" s="70"/>
      <c r="L196" s="70"/>
      <c r="O196" s="70"/>
    </row>
    <row r="197" spans="3:15" s="37" customFormat="1" ht="12.75">
      <c r="C197" s="70"/>
      <c r="F197" s="70"/>
      <c r="I197" s="70"/>
      <c r="L197" s="70"/>
      <c r="O197" s="70"/>
    </row>
    <row r="198" spans="3:15" s="37" customFormat="1" ht="12.75">
      <c r="C198" s="70"/>
      <c r="F198" s="70"/>
      <c r="I198" s="70"/>
      <c r="L198" s="70"/>
      <c r="O198" s="70"/>
    </row>
    <row r="199" spans="3:15" s="37" customFormat="1" ht="12.75">
      <c r="C199" s="70"/>
      <c r="F199" s="70"/>
      <c r="I199" s="70"/>
      <c r="L199" s="70"/>
      <c r="O199" s="70"/>
    </row>
    <row r="200" spans="3:15" s="37" customFormat="1" ht="12.75">
      <c r="C200" s="70"/>
      <c r="F200" s="70"/>
      <c r="I200" s="70"/>
      <c r="L200" s="70"/>
      <c r="O200" s="70"/>
    </row>
    <row r="201" spans="3:15" s="37" customFormat="1" ht="12.75">
      <c r="C201" s="70"/>
      <c r="F201" s="70"/>
      <c r="I201" s="70"/>
      <c r="L201" s="70"/>
      <c r="O201" s="70"/>
    </row>
    <row r="202" spans="3:15" s="37" customFormat="1" ht="12.75">
      <c r="C202" s="70"/>
      <c r="F202" s="70"/>
      <c r="I202" s="70"/>
      <c r="L202" s="70"/>
      <c r="O202" s="70"/>
    </row>
    <row r="203" spans="3:15" s="37" customFormat="1" ht="12.75">
      <c r="C203" s="70"/>
      <c r="F203" s="70"/>
      <c r="I203" s="70"/>
      <c r="L203" s="70"/>
      <c r="O203" s="70"/>
    </row>
    <row r="204" spans="3:15" s="37" customFormat="1" ht="12.75">
      <c r="C204" s="70"/>
      <c r="F204" s="70"/>
      <c r="I204" s="70"/>
      <c r="L204" s="70"/>
      <c r="O204" s="70"/>
    </row>
    <row r="205" spans="3:15" s="37" customFormat="1" ht="12.75">
      <c r="C205" s="70"/>
      <c r="F205" s="70"/>
      <c r="I205" s="70"/>
      <c r="L205" s="70"/>
      <c r="O205" s="70"/>
    </row>
    <row r="206" spans="3:15" s="37" customFormat="1" ht="12.75">
      <c r="C206" s="70"/>
      <c r="F206" s="70"/>
      <c r="I206" s="70"/>
      <c r="L206" s="70"/>
      <c r="O206" s="70"/>
    </row>
    <row r="207" spans="3:15" s="37" customFormat="1" ht="12.75">
      <c r="C207" s="70"/>
      <c r="F207" s="70"/>
      <c r="I207" s="70"/>
      <c r="L207" s="70"/>
      <c r="O207" s="70"/>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Blad3"/>
  <dimension ref="A1:AG133"/>
  <sheetViews>
    <sheetView zoomScalePageLayoutView="0" workbookViewId="0" topLeftCell="A16">
      <selection activeCell="R20" sqref="R20"/>
    </sheetView>
  </sheetViews>
  <sheetFormatPr defaultColWidth="9.140625" defaultRowHeight="12.75"/>
  <cols>
    <col min="1" max="1" width="10.140625" style="0" customWidth="1"/>
    <col min="2" max="2" width="9.28125" style="0" customWidth="1"/>
    <col min="3" max="3" width="11.140625" style="0" customWidth="1"/>
    <col min="4" max="4" width="1.421875" style="0" customWidth="1"/>
    <col min="5" max="5" width="8.28125" style="0" customWidth="1"/>
    <col min="6" max="6" width="7.7109375" style="0" customWidth="1"/>
    <col min="7" max="7" width="11.140625" style="0" customWidth="1"/>
    <col min="8" max="8" width="1.28515625" style="0" customWidth="1"/>
    <col min="9" max="9" width="10.8515625" style="0" customWidth="1"/>
    <col min="10" max="10" width="7.140625" style="0" customWidth="1"/>
    <col min="11" max="11" width="11.00390625" style="0" customWidth="1"/>
    <col min="12" max="12" width="1.8515625" style="0" customWidth="1"/>
    <col min="14" max="14" width="7.57421875" style="0" customWidth="1"/>
    <col min="15" max="15" width="11.28125" style="0" customWidth="1"/>
    <col min="16" max="16" width="1.57421875" style="0" customWidth="1"/>
    <col min="18" max="18" width="7.140625" style="0" customWidth="1"/>
    <col min="19" max="19" width="11.00390625" style="0" customWidth="1"/>
    <col min="20" max="20" width="1.7109375" style="0" customWidth="1"/>
    <col min="21" max="21" width="8.28125" style="0" customWidth="1"/>
    <col min="22" max="22" width="9.28125" style="0" customWidth="1"/>
    <col min="23" max="23" width="11.140625" style="0" customWidth="1"/>
  </cols>
  <sheetData>
    <row r="1" s="37" customFormat="1" ht="21.75">
      <c r="A1" s="50" t="s">
        <v>26</v>
      </c>
    </row>
    <row r="2" spans="1:33" ht="15">
      <c r="A2" s="43"/>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ht="15.75">
      <c r="A3" s="77" t="s">
        <v>149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ht="15">
      <c r="A4" s="4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15.75">
      <c r="A5" s="128" t="s">
        <v>209</v>
      </c>
      <c r="B5" s="44"/>
      <c r="C5" s="44"/>
      <c r="D5" s="44"/>
      <c r="E5" s="44"/>
      <c r="F5" s="37"/>
      <c r="G5" s="37"/>
      <c r="H5" s="37"/>
      <c r="I5" s="45"/>
      <c r="J5" s="35"/>
      <c r="K5" s="35"/>
      <c r="L5" s="37"/>
      <c r="M5" s="37"/>
      <c r="N5" s="37"/>
      <c r="O5" s="37"/>
      <c r="P5" s="37"/>
      <c r="Q5" s="37"/>
      <c r="R5" s="37"/>
      <c r="S5" s="37"/>
      <c r="T5" s="37"/>
      <c r="U5" s="37"/>
      <c r="V5" s="37"/>
      <c r="W5" s="37"/>
      <c r="X5" s="37"/>
      <c r="Y5" s="37"/>
      <c r="Z5" s="37"/>
      <c r="AA5" s="37"/>
      <c r="AB5" s="37"/>
      <c r="AC5" s="37"/>
      <c r="AD5" s="37"/>
      <c r="AE5" s="37"/>
      <c r="AF5" s="37"/>
      <c r="AG5" s="37"/>
    </row>
    <row r="6" spans="1:33" ht="15.75">
      <c r="A6" s="40"/>
      <c r="B6" s="44"/>
      <c r="C6" s="44"/>
      <c r="D6" s="44"/>
      <c r="E6" s="44"/>
      <c r="F6" s="37"/>
      <c r="G6" s="37"/>
      <c r="H6" s="37"/>
      <c r="I6" s="45"/>
      <c r="J6" s="35"/>
      <c r="K6" s="35"/>
      <c r="L6" s="37"/>
      <c r="M6" s="37"/>
      <c r="N6" s="37"/>
      <c r="O6" s="37"/>
      <c r="P6" s="37"/>
      <c r="Q6" s="37"/>
      <c r="R6" s="37"/>
      <c r="S6" s="37"/>
      <c r="T6" s="37"/>
      <c r="U6" s="37"/>
      <c r="V6" s="37"/>
      <c r="W6" s="37"/>
      <c r="X6" s="37"/>
      <c r="Y6" s="37"/>
      <c r="Z6" s="37"/>
      <c r="AA6" s="37"/>
      <c r="AB6" s="37"/>
      <c r="AC6" s="37"/>
      <c r="AD6" s="37"/>
      <c r="AE6" s="37"/>
      <c r="AF6" s="37"/>
      <c r="AG6" s="37"/>
    </row>
    <row r="7" spans="1:33" ht="15.75">
      <c r="A7" s="77" t="s">
        <v>275</v>
      </c>
      <c r="B7" s="44"/>
      <c r="C7" s="44"/>
      <c r="D7" s="44"/>
      <c r="E7" s="44"/>
      <c r="F7" s="37"/>
      <c r="G7" s="37"/>
      <c r="H7" s="37"/>
      <c r="I7" s="38"/>
      <c r="J7" s="47"/>
      <c r="K7" s="35"/>
      <c r="L7" s="37"/>
      <c r="M7" s="37"/>
      <c r="N7" s="37"/>
      <c r="O7" s="37"/>
      <c r="P7" s="37"/>
      <c r="Q7" s="37"/>
      <c r="R7" s="37"/>
      <c r="S7" s="37"/>
      <c r="T7" s="37"/>
      <c r="U7" s="37"/>
      <c r="V7" s="37"/>
      <c r="W7" s="37"/>
      <c r="X7" s="37"/>
      <c r="Y7" s="37"/>
      <c r="Z7" s="37"/>
      <c r="AA7" s="37"/>
      <c r="AB7" s="37"/>
      <c r="AC7" s="37"/>
      <c r="AD7" s="37"/>
      <c r="AE7" s="37"/>
      <c r="AF7" s="37"/>
      <c r="AG7" s="37"/>
    </row>
    <row r="8" spans="1:33" ht="12.75">
      <c r="A8" s="35"/>
      <c r="B8" s="44"/>
      <c r="C8" s="44"/>
      <c r="D8" s="44"/>
      <c r="E8" s="44"/>
      <c r="F8" s="37"/>
      <c r="G8" s="37"/>
      <c r="H8" s="37"/>
      <c r="I8" s="38"/>
      <c r="J8" s="47"/>
      <c r="K8" s="35"/>
      <c r="L8" s="37"/>
      <c r="M8" s="37"/>
      <c r="N8" s="37"/>
      <c r="O8" s="37"/>
      <c r="P8" s="37"/>
      <c r="Q8" s="37"/>
      <c r="R8" s="37"/>
      <c r="S8" s="37"/>
      <c r="T8" s="37"/>
      <c r="U8" s="37"/>
      <c r="V8" s="37"/>
      <c r="W8" s="37"/>
      <c r="X8" s="37"/>
      <c r="Y8" s="37"/>
      <c r="Z8" s="37"/>
      <c r="AA8" s="37"/>
      <c r="AB8" s="37"/>
      <c r="AC8" s="37"/>
      <c r="AD8" s="37"/>
      <c r="AE8" s="37"/>
      <c r="AF8" s="37"/>
      <c r="AG8" s="37"/>
    </row>
    <row r="9" spans="1:33" ht="15">
      <c r="A9" s="194" t="s">
        <v>152</v>
      </c>
      <c r="B9" s="195"/>
      <c r="C9" s="196"/>
      <c r="D9" s="44"/>
      <c r="E9" s="44"/>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row>
    <row r="10" spans="1:32" ht="12.75">
      <c r="A10" s="210" t="s">
        <v>7</v>
      </c>
      <c r="B10" s="228">
        <f>Start!B9</f>
        <v>0.021</v>
      </c>
      <c r="C10" s="211" t="s">
        <v>37</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row>
    <row r="11" spans="1:32" ht="12.75">
      <c r="A11" s="212" t="s">
        <v>32</v>
      </c>
      <c r="B11" s="228"/>
      <c r="C11" s="211"/>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row>
    <row r="12" spans="1:32" ht="12.75">
      <c r="A12" s="210" t="s">
        <v>8</v>
      </c>
      <c r="B12" s="231">
        <f>Start!B10</f>
        <v>0.129</v>
      </c>
      <c r="C12" s="211" t="s">
        <v>37</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row>
    <row r="13" spans="1:32" ht="12.75">
      <c r="A13" s="210" t="s">
        <v>1</v>
      </c>
      <c r="B13" s="228">
        <f>Start!B19</f>
        <v>0.51695</v>
      </c>
      <c r="C13" s="211" t="s">
        <v>37</v>
      </c>
      <c r="D13" s="37"/>
      <c r="E13" s="38"/>
      <c r="F13" s="48"/>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row>
    <row r="14" spans="1:32" s="2" customFormat="1" ht="12.75">
      <c r="A14" s="210" t="s">
        <v>2</v>
      </c>
      <c r="B14" s="228">
        <f>Start!B20</f>
        <v>0.05799</v>
      </c>
      <c r="C14" s="211" t="s">
        <v>37</v>
      </c>
      <c r="D14" s="37"/>
      <c r="E14" s="38"/>
      <c r="F14" s="48"/>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row>
    <row r="15" spans="1:32" s="2" customFormat="1" ht="12.75">
      <c r="A15" s="210" t="s">
        <v>3</v>
      </c>
      <c r="B15" s="231">
        <f>Start!B21</f>
        <v>0.00039892</v>
      </c>
      <c r="C15" s="211" t="s">
        <v>37</v>
      </c>
      <c r="D15" s="37"/>
      <c r="E15" s="38"/>
      <c r="F15" s="48"/>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32" s="2" customFormat="1" ht="12.75">
      <c r="A16" s="210" t="s">
        <v>4</v>
      </c>
      <c r="B16" s="231">
        <f>Start!B22</f>
        <v>0.0030163</v>
      </c>
      <c r="C16" s="211" t="s">
        <v>37</v>
      </c>
      <c r="D16" s="37"/>
      <c r="E16" s="38"/>
      <c r="F16" s="48"/>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32" s="2" customFormat="1" ht="12.75">
      <c r="A17" s="210" t="s">
        <v>5</v>
      </c>
      <c r="B17" s="231">
        <f>Start!B23</f>
        <v>0.0002</v>
      </c>
      <c r="C17" s="211" t="s">
        <v>37</v>
      </c>
      <c r="D17" s="37"/>
      <c r="E17" s="38"/>
      <c r="F17" s="48"/>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row>
    <row r="18" spans="1:32" s="2" customFormat="1" ht="12.75">
      <c r="A18" s="208" t="s">
        <v>20</v>
      </c>
      <c r="B18" s="232">
        <f>Start!B24</f>
        <v>0.29244478000000007</v>
      </c>
      <c r="C18" s="213" t="s">
        <v>37</v>
      </c>
      <c r="D18" s="37"/>
      <c r="E18" s="38"/>
      <c r="F18" s="48"/>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s="2" customFormat="1" ht="12.75">
      <c r="A19" s="37"/>
      <c r="B19" s="37"/>
      <c r="C19" s="37"/>
      <c r="D19" s="37"/>
      <c r="E19" s="38"/>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1:32" s="2" customFormat="1" ht="12.75">
      <c r="A20" s="125" t="s">
        <v>243</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row>
    <row r="21" spans="1:32" s="2" customFormat="1" ht="12.75">
      <c r="A21" s="125" t="s">
        <v>396</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row>
    <row r="22" spans="1:32" s="2" customFormat="1" ht="12.75">
      <c r="A22" s="125" t="s">
        <v>67</v>
      </c>
      <c r="B22" s="37"/>
      <c r="C22" s="38"/>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row>
    <row r="23" spans="1:32" s="2" customFormat="1" ht="12.75">
      <c r="A23" s="125" t="s">
        <v>68</v>
      </c>
      <c r="B23" s="37"/>
      <c r="C23" s="38"/>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row>
    <row r="24" spans="1:32" s="2" customFormat="1" ht="12.75">
      <c r="A24" s="125"/>
      <c r="B24" s="37"/>
      <c r="C24" s="38"/>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row>
    <row r="25" spans="1:32" s="2" customFormat="1" ht="15">
      <c r="A25" s="3" t="s">
        <v>6</v>
      </c>
      <c r="B25" s="4"/>
      <c r="C25" s="5"/>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row>
    <row r="26" spans="1:32" s="2" customFormat="1" ht="12.75">
      <c r="A26" s="6"/>
      <c r="B26" s="7"/>
      <c r="C26" s="8"/>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s="2" customFormat="1" ht="12.75">
      <c r="A27" s="9" t="s">
        <v>11</v>
      </c>
      <c r="B27" s="7"/>
      <c r="C27" s="8"/>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row>
    <row r="28" spans="1:32" s="2" customFormat="1" ht="12.75">
      <c r="A28" s="10" t="s">
        <v>28</v>
      </c>
      <c r="B28" s="11">
        <f>B33*(1-$B$10)</f>
        <v>21.1014703919448</v>
      </c>
      <c r="C28" s="8" t="s">
        <v>29</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s="2" customFormat="1" ht="12.75">
      <c r="A29" s="10" t="s">
        <v>28</v>
      </c>
      <c r="B29" s="11">
        <f>B28/3.6</f>
        <v>5.861519553318</v>
      </c>
      <c r="C29" s="8" t="s">
        <v>33</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row>
    <row r="30" spans="1:32" s="2" customFormat="1" ht="12.75">
      <c r="A30" s="10" t="s">
        <v>30</v>
      </c>
      <c r="B30" s="29">
        <f>B40*(1-$B$12)*(1-$B$10)-2.4425*(1-(1-$B$10))</f>
        <v>19.82385080127425</v>
      </c>
      <c r="C30" s="8" t="s">
        <v>29</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s="2" customFormat="1" ht="12.75">
      <c r="A31" s="10" t="s">
        <v>30</v>
      </c>
      <c r="B31" s="11">
        <f>B30/3.6</f>
        <v>5.50662522257618</v>
      </c>
      <c r="C31" s="8" t="s">
        <v>33</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s="2" customFormat="1" ht="12.75">
      <c r="A32" s="9" t="s">
        <v>31</v>
      </c>
      <c r="B32" s="7"/>
      <c r="C32" s="8"/>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row>
    <row r="33" spans="1:32" s="2" customFormat="1" ht="12.75">
      <c r="A33" s="10" t="s">
        <v>28</v>
      </c>
      <c r="B33" s="1">
        <f>(0.341*B13+1.322*B14-0.12*B18-0.12*B16+0.0686*B15-0.0153*B12)*100</f>
        <v>21.5541066312</v>
      </c>
      <c r="C33" s="8" t="s">
        <v>29</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row>
    <row r="34" spans="1:32" s="2" customFormat="1" ht="12.75">
      <c r="A34" s="10" t="s">
        <v>28</v>
      </c>
      <c r="B34" s="11">
        <f>B33/3.6</f>
        <v>5.987251842</v>
      </c>
      <c r="C34" s="8" t="s">
        <v>33</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row>
    <row r="35" spans="1:32" s="2" customFormat="1" ht="12.75">
      <c r="A35" s="10" t="s">
        <v>30</v>
      </c>
      <c r="B35" s="11">
        <f>B40*(1-$B$12)</f>
        <v>20.30147426075</v>
      </c>
      <c r="C35" s="8" t="s">
        <v>29</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row>
    <row r="36" spans="1:32" s="2" customFormat="1" ht="12.75">
      <c r="A36" s="10" t="s">
        <v>30</v>
      </c>
      <c r="B36" s="11">
        <f>B35/3.6</f>
        <v>5.639298405763888</v>
      </c>
      <c r="C36" s="8" t="s">
        <v>33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row>
    <row r="37" spans="1:32" s="2" customFormat="1" ht="12.75">
      <c r="A37" s="9" t="s">
        <v>12</v>
      </c>
      <c r="B37" s="7"/>
      <c r="C37" s="8"/>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row>
    <row r="38" spans="1:32" s="2" customFormat="1" ht="12.75">
      <c r="A38" s="10" t="s">
        <v>28</v>
      </c>
      <c r="B38" s="11">
        <f>B33/(1-B12)</f>
        <v>24.746391080597014</v>
      </c>
      <c r="C38" s="8" t="s">
        <v>29</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row>
    <row r="39" spans="1:32" s="2" customFormat="1" ht="12.75">
      <c r="A39" s="10" t="s">
        <v>28</v>
      </c>
      <c r="B39" s="11">
        <f>B38/3.6</f>
        <v>6.873997522388059</v>
      </c>
      <c r="C39" s="8" t="s">
        <v>33</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pans="1:32" s="2" customFormat="1" ht="12.75">
      <c r="A40" s="10" t="s">
        <v>30</v>
      </c>
      <c r="B40" s="28">
        <f>B38-212.1*$B$14/(1-$B$12)/10-0.775*$B$18/(1-$B$12)/10</f>
        <v>23.30823680912744</v>
      </c>
      <c r="C40" s="8" t="s">
        <v>29</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1:32" s="2" customFormat="1" ht="12.75">
      <c r="A41" s="12" t="s">
        <v>30</v>
      </c>
      <c r="B41" s="27">
        <f>B40/3.6</f>
        <v>6.474510224757622</v>
      </c>
      <c r="C41" s="13" t="s">
        <v>33</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s="2" customFormat="1" ht="12.75">
      <c r="A42" s="35"/>
      <c r="B42" s="36"/>
      <c r="C42" s="35"/>
      <c r="D42" s="37"/>
      <c r="E42" s="38"/>
      <c r="F42" s="39"/>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row>
    <row r="43" spans="1:32" s="2" customFormat="1" ht="12.75">
      <c r="A43" s="35"/>
      <c r="B43" s="36"/>
      <c r="C43" s="35"/>
      <c r="D43" s="37"/>
      <c r="E43" s="38"/>
      <c r="F43" s="39"/>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row>
    <row r="44" spans="1:32" s="2" customFormat="1" ht="15.75">
      <c r="A44" s="128" t="s">
        <v>210</v>
      </c>
      <c r="B44" s="36"/>
      <c r="C44" s="35"/>
      <c r="D44" s="37"/>
      <c r="E44" s="38"/>
      <c r="F44" s="39"/>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row>
    <row r="45" spans="1:32" s="2" customFormat="1" ht="12.75">
      <c r="A45" s="35"/>
      <c r="B45" s="36"/>
      <c r="C45" s="35"/>
      <c r="D45" s="37"/>
      <c r="E45" s="38"/>
      <c r="F45" s="39"/>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row>
    <row r="46" spans="1:32" s="26" customFormat="1" ht="15.75">
      <c r="A46" s="40" t="s">
        <v>195</v>
      </c>
      <c r="B46" s="41"/>
      <c r="C46" s="41"/>
      <c r="D46" s="41"/>
      <c r="E46" s="41"/>
      <c r="F46" s="41"/>
      <c r="G46" s="42"/>
      <c r="H46" s="42"/>
      <c r="I46" s="42"/>
      <c r="J46" s="37"/>
      <c r="K46" s="37"/>
      <c r="L46" s="37"/>
      <c r="M46" s="37"/>
      <c r="N46" s="42"/>
      <c r="O46" s="42"/>
      <c r="P46" s="42"/>
      <c r="Q46" s="42"/>
      <c r="R46" s="42"/>
      <c r="S46" s="42"/>
      <c r="T46" s="42"/>
      <c r="U46" s="42"/>
      <c r="V46" s="42"/>
      <c r="W46" s="42"/>
      <c r="X46" s="42"/>
      <c r="Y46" s="42"/>
      <c r="Z46" s="42"/>
      <c r="AA46" s="42"/>
      <c r="AB46" s="42"/>
      <c r="AC46" s="42"/>
      <c r="AD46" s="42"/>
      <c r="AE46" s="42"/>
      <c r="AF46" s="42"/>
    </row>
    <row r="47" spans="1:32" s="26" customFormat="1" ht="10.5" customHeight="1">
      <c r="A47" s="40"/>
      <c r="B47" s="41"/>
      <c r="C47" s="41"/>
      <c r="D47" s="41"/>
      <c r="E47" s="41"/>
      <c r="F47" s="41"/>
      <c r="G47" s="42"/>
      <c r="H47" s="42"/>
      <c r="I47" s="42"/>
      <c r="J47" s="37"/>
      <c r="K47" s="37"/>
      <c r="L47" s="37"/>
      <c r="M47" s="37"/>
      <c r="N47" s="42"/>
      <c r="O47" s="42"/>
      <c r="P47" s="42"/>
      <c r="Q47" s="42"/>
      <c r="R47" s="42"/>
      <c r="S47" s="42"/>
      <c r="T47" s="42"/>
      <c r="U47" s="42"/>
      <c r="V47" s="42"/>
      <c r="W47" s="42"/>
      <c r="X47" s="42"/>
      <c r="Y47" s="42"/>
      <c r="Z47" s="42"/>
      <c r="AA47" s="42"/>
      <c r="AB47" s="42"/>
      <c r="AC47" s="42"/>
      <c r="AD47" s="42"/>
      <c r="AE47" s="42"/>
      <c r="AF47" s="42"/>
    </row>
    <row r="48" spans="1:32" ht="12.75">
      <c r="A48" s="125" t="s">
        <v>38</v>
      </c>
      <c r="B48" s="125"/>
      <c r="C48" s="125"/>
      <c r="D48" s="125"/>
      <c r="E48" s="125"/>
      <c r="F48" s="125"/>
      <c r="G48" s="125"/>
      <c r="H48" s="125"/>
      <c r="I48" s="125"/>
      <c r="J48" s="125"/>
      <c r="K48" s="125"/>
      <c r="L48" s="125"/>
      <c r="M48" s="125"/>
      <c r="N48" s="37"/>
      <c r="O48" s="37"/>
      <c r="P48" s="37"/>
      <c r="Q48" s="37"/>
      <c r="R48" s="37"/>
      <c r="S48" s="37"/>
      <c r="T48" s="37"/>
      <c r="U48" s="37"/>
      <c r="V48" s="37"/>
      <c r="W48" s="37"/>
      <c r="X48" s="37"/>
      <c r="Y48" s="37"/>
      <c r="Z48" s="37"/>
      <c r="AA48" s="37"/>
      <c r="AB48" s="37"/>
      <c r="AC48" s="37"/>
      <c r="AD48" s="37"/>
      <c r="AE48" s="37"/>
      <c r="AF48" s="37"/>
    </row>
    <row r="49" spans="1:32" ht="12.75">
      <c r="A49" s="125" t="s">
        <v>34</v>
      </c>
      <c r="B49" s="125"/>
      <c r="C49" s="125"/>
      <c r="D49" s="125"/>
      <c r="E49" s="125"/>
      <c r="F49" s="125"/>
      <c r="G49" s="125"/>
      <c r="H49" s="125"/>
      <c r="I49" s="125"/>
      <c r="J49" s="125"/>
      <c r="K49" s="125"/>
      <c r="L49" s="125"/>
      <c r="M49" s="125"/>
      <c r="N49" s="37"/>
      <c r="O49" s="37"/>
      <c r="P49" s="37"/>
      <c r="Q49" s="37"/>
      <c r="R49" s="37"/>
      <c r="S49" s="37"/>
      <c r="T49" s="37"/>
      <c r="U49" s="37"/>
      <c r="V49" s="37"/>
      <c r="W49" s="37"/>
      <c r="X49" s="37"/>
      <c r="Y49" s="37"/>
      <c r="Z49" s="37"/>
      <c r="AA49" s="37"/>
      <c r="AB49" s="37"/>
      <c r="AC49" s="37"/>
      <c r="AD49" s="37"/>
      <c r="AE49" s="37"/>
      <c r="AF49" s="37"/>
    </row>
    <row r="50" spans="1:32" ht="12.75">
      <c r="A50" s="125" t="s">
        <v>39</v>
      </c>
      <c r="B50" s="125"/>
      <c r="C50" s="125"/>
      <c r="D50" s="125"/>
      <c r="E50" s="125"/>
      <c r="F50" s="125"/>
      <c r="G50" s="125"/>
      <c r="H50" s="125"/>
      <c r="I50" s="125"/>
      <c r="J50" s="125"/>
      <c r="K50" s="125"/>
      <c r="L50" s="125"/>
      <c r="M50" s="125"/>
      <c r="N50" s="37"/>
      <c r="O50" s="37"/>
      <c r="P50" s="37"/>
      <c r="Q50" s="37"/>
      <c r="R50" s="37"/>
      <c r="S50" s="37"/>
      <c r="T50" s="37"/>
      <c r="U50" s="37"/>
      <c r="V50" s="37"/>
      <c r="W50" s="37"/>
      <c r="X50" s="37"/>
      <c r="Y50" s="37"/>
      <c r="Z50" s="37"/>
      <c r="AA50" s="37"/>
      <c r="AB50" s="37"/>
      <c r="AC50" s="37"/>
      <c r="AD50" s="37"/>
      <c r="AE50" s="37"/>
      <c r="AF50" s="37"/>
    </row>
    <row r="51" spans="1:32" ht="12.75">
      <c r="A51" s="125"/>
      <c r="B51" s="125"/>
      <c r="C51" s="125"/>
      <c r="D51" s="125"/>
      <c r="E51" s="125"/>
      <c r="F51" s="125"/>
      <c r="G51" s="125"/>
      <c r="H51" s="125"/>
      <c r="I51" s="125"/>
      <c r="J51" s="125"/>
      <c r="K51" s="125"/>
      <c r="L51" s="125"/>
      <c r="M51" s="125"/>
      <c r="N51" s="37"/>
      <c r="O51" s="37"/>
      <c r="P51" s="37"/>
      <c r="Q51" s="37"/>
      <c r="R51" s="37"/>
      <c r="S51" s="37"/>
      <c r="T51" s="37"/>
      <c r="U51" s="37"/>
      <c r="V51" s="37"/>
      <c r="W51" s="37"/>
      <c r="X51" s="37"/>
      <c r="Y51" s="37"/>
      <c r="Z51" s="37"/>
      <c r="AA51" s="37"/>
      <c r="AB51" s="37"/>
      <c r="AC51" s="37"/>
      <c r="AD51" s="37"/>
      <c r="AE51" s="37"/>
      <c r="AF51" s="37"/>
    </row>
    <row r="52" spans="1:32" ht="12.75">
      <c r="A52" s="187"/>
      <c r="B52" s="125" t="s">
        <v>40</v>
      </c>
      <c r="C52" s="125"/>
      <c r="D52" s="125"/>
      <c r="E52" s="125"/>
      <c r="F52" s="125"/>
      <c r="G52" s="125"/>
      <c r="H52" s="125"/>
      <c r="I52" s="125"/>
      <c r="J52" s="125"/>
      <c r="K52" s="125"/>
      <c r="L52" s="125"/>
      <c r="M52" s="125"/>
      <c r="N52" s="37"/>
      <c r="O52" s="37"/>
      <c r="P52" s="37"/>
      <c r="Q52" s="37"/>
      <c r="R52" s="37"/>
      <c r="S52" s="37"/>
      <c r="T52" s="37"/>
      <c r="U52" s="37"/>
      <c r="V52" s="37"/>
      <c r="W52" s="37"/>
      <c r="X52" s="37"/>
      <c r="Y52" s="37"/>
      <c r="Z52" s="37"/>
      <c r="AA52" s="37"/>
      <c r="AB52" s="37"/>
      <c r="AC52" s="37"/>
      <c r="AD52" s="37"/>
      <c r="AE52" s="37"/>
      <c r="AF52" s="37"/>
    </row>
    <row r="53" spans="1:32" ht="12.75">
      <c r="A53" s="125"/>
      <c r="B53" s="125"/>
      <c r="C53" s="125"/>
      <c r="D53" s="125"/>
      <c r="E53" s="125"/>
      <c r="F53" s="125"/>
      <c r="G53" s="125"/>
      <c r="H53" s="125"/>
      <c r="I53" s="125"/>
      <c r="J53" s="125"/>
      <c r="K53" s="125"/>
      <c r="L53" s="125"/>
      <c r="M53" s="125"/>
      <c r="N53" s="37"/>
      <c r="O53" s="37"/>
      <c r="P53" s="37"/>
      <c r="Q53" s="37"/>
      <c r="R53" s="37"/>
      <c r="S53" s="37"/>
      <c r="T53" s="37"/>
      <c r="U53" s="37"/>
      <c r="V53" s="37"/>
      <c r="W53" s="37"/>
      <c r="X53" s="37"/>
      <c r="Y53" s="37"/>
      <c r="Z53" s="37"/>
      <c r="AA53" s="37"/>
      <c r="AB53" s="37"/>
      <c r="AC53" s="37"/>
      <c r="AD53" s="37"/>
      <c r="AE53" s="37"/>
      <c r="AF53" s="37"/>
    </row>
    <row r="54" spans="1:32" ht="15.75">
      <c r="A54" s="40" t="s">
        <v>104</v>
      </c>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row>
    <row r="55" spans="1:32" ht="9" customHeight="1">
      <c r="A55" s="40"/>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row>
    <row r="56" spans="1:32" s="110" customFormat="1" ht="12">
      <c r="A56" s="109" t="s">
        <v>179</v>
      </c>
      <c r="B56" s="109"/>
      <c r="C56" s="109"/>
      <c r="D56" s="109"/>
      <c r="E56" s="109" t="s">
        <v>180</v>
      </c>
      <c r="F56" s="109"/>
      <c r="G56" s="109"/>
      <c r="H56" s="109"/>
      <c r="I56" s="109" t="s">
        <v>181</v>
      </c>
      <c r="J56" s="109"/>
      <c r="K56" s="109"/>
      <c r="L56" s="109"/>
      <c r="M56" s="109" t="s">
        <v>182</v>
      </c>
      <c r="N56" s="109"/>
      <c r="O56" s="109"/>
      <c r="P56" s="109"/>
      <c r="Q56" s="109" t="s">
        <v>102</v>
      </c>
      <c r="R56" s="109"/>
      <c r="S56" s="109"/>
      <c r="T56" s="109"/>
      <c r="U56" s="109" t="s">
        <v>103</v>
      </c>
      <c r="V56" s="109"/>
      <c r="W56" s="109"/>
      <c r="X56" s="109"/>
      <c r="Y56" s="109"/>
      <c r="Z56" s="109"/>
      <c r="AA56" s="109"/>
      <c r="AB56" s="109"/>
      <c r="AC56" s="109"/>
      <c r="AD56" s="109"/>
      <c r="AE56" s="109"/>
      <c r="AF56" s="109"/>
    </row>
    <row r="57" spans="1:32" ht="15">
      <c r="A57" s="14" t="s">
        <v>13</v>
      </c>
      <c r="B57" s="143"/>
      <c r="C57" s="16"/>
      <c r="E57" s="14" t="s">
        <v>13</v>
      </c>
      <c r="F57" s="143"/>
      <c r="G57" s="16"/>
      <c r="I57" s="14" t="s">
        <v>13</v>
      </c>
      <c r="J57" s="143"/>
      <c r="K57" s="16"/>
      <c r="M57" s="14" t="s">
        <v>13</v>
      </c>
      <c r="N57" s="143"/>
      <c r="O57" s="16"/>
      <c r="Q57" s="14" t="s">
        <v>13</v>
      </c>
      <c r="R57" s="15"/>
      <c r="S57" s="16"/>
      <c r="U57" s="14" t="s">
        <v>13</v>
      </c>
      <c r="V57" s="15"/>
      <c r="W57" s="16"/>
      <c r="Y57" s="37"/>
      <c r="Z57" s="37"/>
      <c r="AA57" s="37"/>
      <c r="AB57" s="37"/>
      <c r="AC57" s="37"/>
      <c r="AD57" s="37"/>
      <c r="AE57" s="37"/>
      <c r="AF57" s="37"/>
    </row>
    <row r="58" spans="1:32" ht="15">
      <c r="A58" s="17"/>
      <c r="B58" s="144"/>
      <c r="C58" s="19"/>
      <c r="D58" s="37"/>
      <c r="E58" s="17"/>
      <c r="F58" s="144"/>
      <c r="G58" s="19"/>
      <c r="H58" s="37"/>
      <c r="I58" s="17"/>
      <c r="J58" s="144"/>
      <c r="K58" s="19"/>
      <c r="L58" s="37"/>
      <c r="M58" s="17"/>
      <c r="N58" s="144"/>
      <c r="O58" s="19"/>
      <c r="P58" s="37"/>
      <c r="Q58" s="17"/>
      <c r="R58" s="18"/>
      <c r="S58" s="19"/>
      <c r="T58" s="37"/>
      <c r="U58" s="17"/>
      <c r="V58" s="18"/>
      <c r="W58" s="19"/>
      <c r="X58" s="37"/>
      <c r="Y58" s="37"/>
      <c r="Z58" s="37"/>
      <c r="AA58" s="37"/>
      <c r="AB58" s="37"/>
      <c r="AC58" s="37"/>
      <c r="AD58" s="37"/>
      <c r="AE58" s="37"/>
      <c r="AF58" s="37"/>
    </row>
    <row r="59" spans="1:32" ht="12.75">
      <c r="A59" s="20" t="s">
        <v>35</v>
      </c>
      <c r="B59" s="145"/>
      <c r="C59" s="146"/>
      <c r="D59" s="37"/>
      <c r="E59" s="20" t="s">
        <v>35</v>
      </c>
      <c r="F59" s="145"/>
      <c r="G59" s="146"/>
      <c r="H59" s="37"/>
      <c r="I59" s="20" t="s">
        <v>32</v>
      </c>
      <c r="J59" s="158"/>
      <c r="K59" s="22"/>
      <c r="L59" s="37"/>
      <c r="M59" s="20" t="s">
        <v>31</v>
      </c>
      <c r="N59" s="158"/>
      <c r="O59" s="22"/>
      <c r="P59" s="37"/>
      <c r="Q59" s="20" t="s">
        <v>12</v>
      </c>
      <c r="R59" s="21"/>
      <c r="S59" s="22"/>
      <c r="T59" s="37"/>
      <c r="U59" s="20" t="s">
        <v>12</v>
      </c>
      <c r="V59" s="21"/>
      <c r="W59" s="22"/>
      <c r="X59" s="37"/>
      <c r="Y59" s="37"/>
      <c r="Z59" s="37"/>
      <c r="AA59" s="37"/>
      <c r="AB59" s="37"/>
      <c r="AC59" s="37"/>
      <c r="AD59" s="37"/>
      <c r="AE59" s="37"/>
      <c r="AF59" s="37"/>
    </row>
    <row r="60" spans="1:32" ht="12.75">
      <c r="A60" s="23" t="s">
        <v>28</v>
      </c>
      <c r="B60" s="138">
        <v>27.435</v>
      </c>
      <c r="C60" s="25" t="s">
        <v>27</v>
      </c>
      <c r="E60" s="23" t="s">
        <v>30</v>
      </c>
      <c r="F60" s="136">
        <v>25.5</v>
      </c>
      <c r="G60" s="25" t="s">
        <v>27</v>
      </c>
      <c r="I60" s="23" t="s">
        <v>28</v>
      </c>
      <c r="J60" s="138">
        <v>19.4</v>
      </c>
      <c r="K60" s="25" t="s">
        <v>27</v>
      </c>
      <c r="M60" s="23" t="s">
        <v>30</v>
      </c>
      <c r="N60" s="138">
        <v>27.8</v>
      </c>
      <c r="O60" s="25" t="s">
        <v>27</v>
      </c>
      <c r="Q60" s="23" t="s">
        <v>28</v>
      </c>
      <c r="R60" s="136">
        <v>27.44</v>
      </c>
      <c r="S60" s="25" t="s">
        <v>27</v>
      </c>
      <c r="U60" s="23" t="s">
        <v>30</v>
      </c>
      <c r="V60" s="138">
        <v>21.79</v>
      </c>
      <c r="W60" s="25" t="s">
        <v>27</v>
      </c>
      <c r="Y60" s="37"/>
      <c r="Z60" s="37"/>
      <c r="AA60" s="37"/>
      <c r="AB60" s="37"/>
      <c r="AC60" s="37"/>
      <c r="AD60" s="37"/>
      <c r="AE60" s="37"/>
      <c r="AF60" s="37"/>
    </row>
    <row r="61" spans="1:32" ht="12.7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5">
      <c r="A62" s="147" t="s">
        <v>6</v>
      </c>
      <c r="B62" s="148"/>
      <c r="C62" s="149"/>
      <c r="D62" s="37"/>
      <c r="E62" s="147" t="s">
        <v>6</v>
      </c>
      <c r="F62" s="148"/>
      <c r="G62" s="149"/>
      <c r="H62" s="37"/>
      <c r="I62" s="147" t="s">
        <v>6</v>
      </c>
      <c r="J62" s="148"/>
      <c r="K62" s="149"/>
      <c r="L62" s="37"/>
      <c r="M62" s="147" t="s">
        <v>6</v>
      </c>
      <c r="N62" s="148"/>
      <c r="O62" s="149"/>
      <c r="P62" s="37"/>
      <c r="Q62" s="3" t="s">
        <v>6</v>
      </c>
      <c r="R62" s="4"/>
      <c r="S62" s="5"/>
      <c r="T62" s="37"/>
      <c r="U62" s="3" t="s">
        <v>6</v>
      </c>
      <c r="V62" s="4"/>
      <c r="W62" s="5"/>
      <c r="X62" s="37"/>
      <c r="Y62" s="37"/>
      <c r="Z62" s="37"/>
      <c r="AA62" s="37"/>
      <c r="AB62" s="37"/>
      <c r="AC62" s="37"/>
      <c r="AD62" s="37"/>
      <c r="AE62" s="37"/>
      <c r="AF62" s="37"/>
    </row>
    <row r="63" spans="1:32" ht="12.75">
      <c r="A63" s="150"/>
      <c r="B63" s="151"/>
      <c r="C63" s="152"/>
      <c r="D63" s="37"/>
      <c r="E63" s="150"/>
      <c r="F63" s="151"/>
      <c r="G63" s="152"/>
      <c r="H63" s="37"/>
      <c r="I63" s="150"/>
      <c r="J63" s="151"/>
      <c r="K63" s="152"/>
      <c r="L63" s="37"/>
      <c r="M63" s="150"/>
      <c r="N63" s="151"/>
      <c r="O63" s="152"/>
      <c r="P63" s="37"/>
      <c r="Q63" s="6"/>
      <c r="R63" s="7"/>
      <c r="S63" s="8"/>
      <c r="T63" s="37"/>
      <c r="U63" s="6"/>
      <c r="V63" s="7"/>
      <c r="W63" s="8"/>
      <c r="X63" s="37"/>
      <c r="Y63" s="37"/>
      <c r="Z63" s="37"/>
      <c r="AA63" s="37"/>
      <c r="AB63" s="37"/>
      <c r="AC63" s="37"/>
      <c r="AD63" s="37"/>
      <c r="AE63" s="37"/>
      <c r="AF63" s="37"/>
    </row>
    <row r="64" spans="1:32" ht="12.75">
      <c r="A64" s="153" t="s">
        <v>11</v>
      </c>
      <c r="B64" s="151"/>
      <c r="C64" s="152"/>
      <c r="D64" s="37"/>
      <c r="E64" s="153" t="s">
        <v>11</v>
      </c>
      <c r="F64" s="151"/>
      <c r="G64" s="152"/>
      <c r="H64" s="37"/>
      <c r="I64" s="153" t="s">
        <v>11</v>
      </c>
      <c r="J64" s="151"/>
      <c r="K64" s="152"/>
      <c r="L64" s="37"/>
      <c r="M64" s="153" t="s">
        <v>11</v>
      </c>
      <c r="N64" s="155"/>
      <c r="O64" s="152"/>
      <c r="P64" s="37"/>
      <c r="Q64" s="9" t="s">
        <v>11</v>
      </c>
      <c r="R64" s="7"/>
      <c r="S64" s="8"/>
      <c r="T64" s="37"/>
      <c r="U64" s="9" t="s">
        <v>11</v>
      </c>
      <c r="V64" s="7"/>
      <c r="W64" s="8"/>
      <c r="X64" s="37"/>
      <c r="Y64" s="37"/>
      <c r="Z64" s="37"/>
      <c r="AA64" s="37"/>
      <c r="AB64" s="37"/>
      <c r="AC64" s="37"/>
      <c r="AD64" s="37"/>
      <c r="AE64" s="37"/>
      <c r="AF64" s="37"/>
    </row>
    <row r="65" spans="1:32" ht="12.75">
      <c r="A65" s="154" t="s">
        <v>28</v>
      </c>
      <c r="B65" s="190">
        <f>B60</f>
        <v>27.435</v>
      </c>
      <c r="C65" s="152" t="s">
        <v>29</v>
      </c>
      <c r="D65" s="37"/>
      <c r="E65" s="154" t="s">
        <v>28</v>
      </c>
      <c r="F65" s="29">
        <f>F70*(1-$B$10)</f>
        <v>26.733242557529447</v>
      </c>
      <c r="G65" s="152" t="s">
        <v>29</v>
      </c>
      <c r="H65" s="37"/>
      <c r="I65" s="154" t="s">
        <v>28</v>
      </c>
      <c r="J65" s="29">
        <f>J60*(1-$B$10)</f>
        <v>18.9926</v>
      </c>
      <c r="K65" s="152" t="s">
        <v>29</v>
      </c>
      <c r="L65" s="37"/>
      <c r="M65" s="154" t="s">
        <v>28</v>
      </c>
      <c r="N65" s="29">
        <f>N70*(1-$B$10)</f>
        <v>28.398150057529445</v>
      </c>
      <c r="O65" s="152" t="s">
        <v>29</v>
      </c>
      <c r="P65" s="37"/>
      <c r="Q65" s="10" t="s">
        <v>28</v>
      </c>
      <c r="R65" s="29">
        <f>R70*(1-B10)</f>
        <v>23.39833496</v>
      </c>
      <c r="S65" s="8" t="s">
        <v>29</v>
      </c>
      <c r="T65" s="37"/>
      <c r="U65" s="10" t="s">
        <v>28</v>
      </c>
      <c r="V65" s="29">
        <f>V70*(1-B10)</f>
        <v>19.76247916752945</v>
      </c>
      <c r="W65" s="8" t="s">
        <v>29</v>
      </c>
      <c r="X65" s="37"/>
      <c r="Y65" s="37"/>
      <c r="Z65" s="37"/>
      <c r="AA65" s="37"/>
      <c r="AB65" s="37"/>
      <c r="AC65" s="37"/>
      <c r="AD65" s="37"/>
      <c r="AE65" s="37"/>
      <c r="AF65" s="37"/>
    </row>
    <row r="66" spans="1:32" ht="12.75">
      <c r="A66" s="154" t="s">
        <v>28</v>
      </c>
      <c r="B66" s="190">
        <f>B65/3.6</f>
        <v>7.620833333333333</v>
      </c>
      <c r="C66" s="152" t="s">
        <v>33</v>
      </c>
      <c r="D66" s="37"/>
      <c r="E66" s="154" t="s">
        <v>28</v>
      </c>
      <c r="F66" s="29">
        <f>F65/3.6</f>
        <v>7.4259007104248465</v>
      </c>
      <c r="G66" s="152" t="s">
        <v>33</v>
      </c>
      <c r="H66" s="37"/>
      <c r="I66" s="154" t="s">
        <v>28</v>
      </c>
      <c r="J66" s="29">
        <f>J65/3.6</f>
        <v>5.275722222222222</v>
      </c>
      <c r="K66" s="152" t="s">
        <v>33</v>
      </c>
      <c r="L66" s="37"/>
      <c r="M66" s="154" t="s">
        <v>28</v>
      </c>
      <c r="N66" s="29">
        <f>N65/3.6</f>
        <v>7.888375015980401</v>
      </c>
      <c r="O66" s="152" t="s">
        <v>33</v>
      </c>
      <c r="P66" s="37"/>
      <c r="Q66" s="10" t="s">
        <v>28</v>
      </c>
      <c r="R66" s="29">
        <f>R65/3.6</f>
        <v>6.499537488888889</v>
      </c>
      <c r="S66" s="8" t="s">
        <v>33</v>
      </c>
      <c r="T66" s="37"/>
      <c r="U66" s="10" t="s">
        <v>28</v>
      </c>
      <c r="V66" s="29">
        <f>V65/3.6</f>
        <v>5.4895775465359575</v>
      </c>
      <c r="W66" s="8" t="s">
        <v>33</v>
      </c>
      <c r="X66" s="37"/>
      <c r="Y66" s="37"/>
      <c r="Z66" s="37"/>
      <c r="AA66" s="37"/>
      <c r="AB66" s="37"/>
      <c r="AC66" s="37"/>
      <c r="AD66" s="37"/>
      <c r="AE66" s="37"/>
      <c r="AF66" s="37"/>
    </row>
    <row r="67" spans="1:32" ht="12.75">
      <c r="A67" s="154" t="s">
        <v>30</v>
      </c>
      <c r="B67" s="29">
        <f>B77*(1-$B$12)*(1-$B$10)-2.4425*(1-(1-$B$10))</f>
        <v>26.15738040932945</v>
      </c>
      <c r="C67" s="152" t="s">
        <v>29</v>
      </c>
      <c r="D67" s="37"/>
      <c r="E67" s="154" t="s">
        <v>30</v>
      </c>
      <c r="F67" s="190">
        <f>F60</f>
        <v>25.5</v>
      </c>
      <c r="G67" s="152" t="s">
        <v>29</v>
      </c>
      <c r="H67" s="37"/>
      <c r="I67" s="154" t="s">
        <v>30</v>
      </c>
      <c r="J67" s="29">
        <f>J77*(1-$B$12)*(1-$B$10)-2.4425*(1-(1-$B$10))</f>
        <v>17.71498040932945</v>
      </c>
      <c r="K67" s="152" t="s">
        <v>29</v>
      </c>
      <c r="L67" s="37"/>
      <c r="M67" s="154" t="s">
        <v>30</v>
      </c>
      <c r="N67" s="29">
        <f>N77*(1-$B$12)*(1-$B$10)-2.4425*(1-(1-$B$10))</f>
        <v>27.1649075</v>
      </c>
      <c r="O67" s="152" t="s">
        <v>29</v>
      </c>
      <c r="P67" s="37"/>
      <c r="Q67" s="10" t="s">
        <v>30</v>
      </c>
      <c r="R67" s="29">
        <f>R77*(1-$B$12)*(1-$B$10)-2.4425*(1-(1-$B$10))</f>
        <v>22.120715369329453</v>
      </c>
      <c r="S67" s="8" t="s">
        <v>29</v>
      </c>
      <c r="T67" s="37"/>
      <c r="U67" s="10" t="s">
        <v>30</v>
      </c>
      <c r="V67" s="29">
        <f>V77*(1-$B$12)*(1-$B$10)-2.4425*(1-(1-$B$10))</f>
        <v>18.52923661</v>
      </c>
      <c r="W67" s="8" t="s">
        <v>29</v>
      </c>
      <c r="X67" s="37"/>
      <c r="Y67" s="37"/>
      <c r="Z67" s="37"/>
      <c r="AA67" s="37"/>
      <c r="AB67" s="37"/>
      <c r="AC67" s="37"/>
      <c r="AD67" s="37"/>
      <c r="AE67" s="37"/>
      <c r="AF67" s="37"/>
    </row>
    <row r="68" spans="1:32" ht="12.75">
      <c r="A68" s="154" t="s">
        <v>30</v>
      </c>
      <c r="B68" s="29">
        <f>B67/3.6</f>
        <v>7.265939002591513</v>
      </c>
      <c r="C68" s="152" t="s">
        <v>33</v>
      </c>
      <c r="D68" s="37"/>
      <c r="E68" s="154" t="s">
        <v>30</v>
      </c>
      <c r="F68" s="190">
        <f>F67/3.6</f>
        <v>7.083333333333333</v>
      </c>
      <c r="G68" s="152" t="s">
        <v>33</v>
      </c>
      <c r="H68" s="37"/>
      <c r="I68" s="154" t="s">
        <v>30</v>
      </c>
      <c r="J68" s="29">
        <f>J67/3.6</f>
        <v>4.9208278914804024</v>
      </c>
      <c r="K68" s="152" t="s">
        <v>33</v>
      </c>
      <c r="L68" s="37"/>
      <c r="M68" s="154" t="s">
        <v>30</v>
      </c>
      <c r="N68" s="29">
        <f>N67/3.6</f>
        <v>7.545807638888889</v>
      </c>
      <c r="O68" s="152" t="s">
        <v>33</v>
      </c>
      <c r="P68" s="37"/>
      <c r="Q68" s="10" t="s">
        <v>30</v>
      </c>
      <c r="R68" s="29">
        <f>R67/3.6</f>
        <v>6.14464315814707</v>
      </c>
      <c r="S68" s="8" t="s">
        <v>33</v>
      </c>
      <c r="T68" s="37"/>
      <c r="U68" s="10" t="s">
        <v>30</v>
      </c>
      <c r="V68" s="29">
        <f>V67/3.6</f>
        <v>5.147010169444445</v>
      </c>
      <c r="W68" s="8" t="s">
        <v>33</v>
      </c>
      <c r="X68" s="37"/>
      <c r="Y68" s="37"/>
      <c r="Z68" s="37"/>
      <c r="AA68" s="37"/>
      <c r="AB68" s="37"/>
      <c r="AC68" s="37"/>
      <c r="AD68" s="37"/>
      <c r="AE68" s="37"/>
      <c r="AF68" s="37"/>
    </row>
    <row r="69" spans="1:32" ht="12.75">
      <c r="A69" s="153" t="s">
        <v>31</v>
      </c>
      <c r="B69" s="29"/>
      <c r="C69" s="152"/>
      <c r="D69" s="37"/>
      <c r="E69" s="153" t="s">
        <v>31</v>
      </c>
      <c r="F69" s="29"/>
      <c r="G69" s="152"/>
      <c r="H69" s="37"/>
      <c r="I69" s="153" t="s">
        <v>32</v>
      </c>
      <c r="J69" s="29"/>
      <c r="K69" s="152"/>
      <c r="L69" s="37"/>
      <c r="M69" s="153" t="s">
        <v>32</v>
      </c>
      <c r="N69" s="29"/>
      <c r="O69" s="152"/>
      <c r="P69" s="37"/>
      <c r="Q69" s="9" t="s">
        <v>31</v>
      </c>
      <c r="R69" s="29"/>
      <c r="S69" s="8"/>
      <c r="T69" s="37"/>
      <c r="U69" s="9" t="s">
        <v>31</v>
      </c>
      <c r="V69" s="29"/>
      <c r="W69" s="8"/>
      <c r="X69" s="37"/>
      <c r="Y69" s="37"/>
      <c r="Z69" s="37"/>
      <c r="AA69" s="37"/>
      <c r="AB69" s="37"/>
      <c r="AC69" s="37"/>
      <c r="AD69" s="37"/>
      <c r="AE69" s="37"/>
      <c r="AF69" s="37"/>
    </row>
    <row r="70" spans="1:32" ht="12.75">
      <c r="A70" s="154" t="s">
        <v>28</v>
      </c>
      <c r="B70" s="29">
        <f>B75*(1-$B$12)</f>
        <v>28.023493360572008</v>
      </c>
      <c r="C70" s="152" t="s">
        <v>29</v>
      </c>
      <c r="D70" s="37"/>
      <c r="E70" s="154" t="s">
        <v>28</v>
      </c>
      <c r="F70" s="29">
        <f>F75*(1-$B$12)</f>
        <v>27.30668289839576</v>
      </c>
      <c r="G70" s="152" t="s">
        <v>29</v>
      </c>
      <c r="H70" s="37"/>
      <c r="I70" s="154" t="s">
        <v>28</v>
      </c>
      <c r="J70" s="190">
        <f>J60</f>
        <v>19.4</v>
      </c>
      <c r="K70" s="152" t="s">
        <v>29</v>
      </c>
      <c r="L70" s="37"/>
      <c r="M70" s="154" t="s">
        <v>28</v>
      </c>
      <c r="N70" s="29">
        <f>N75*(1-$B$12)</f>
        <v>29.007303429549996</v>
      </c>
      <c r="O70" s="152" t="s">
        <v>29</v>
      </c>
      <c r="P70" s="37"/>
      <c r="Q70" s="10" t="s">
        <v>28</v>
      </c>
      <c r="R70" s="29">
        <f>R75*(1-$B$12)</f>
        <v>23.90024</v>
      </c>
      <c r="S70" s="8" t="s">
        <v>29</v>
      </c>
      <c r="T70" s="37"/>
      <c r="U70" s="10" t="s">
        <v>28</v>
      </c>
      <c r="V70" s="29">
        <f>V75*(1-$B$12)</f>
        <v>20.186393429549998</v>
      </c>
      <c r="W70" s="8" t="s">
        <v>29</v>
      </c>
      <c r="X70" s="37"/>
      <c r="Y70" s="37"/>
      <c r="Z70" s="37"/>
      <c r="AA70" s="37"/>
      <c r="AB70" s="37"/>
      <c r="AC70" s="37"/>
      <c r="AD70" s="37"/>
      <c r="AE70" s="37"/>
      <c r="AF70" s="37"/>
    </row>
    <row r="71" spans="1:32" ht="12.75">
      <c r="A71" s="154" t="s">
        <v>28</v>
      </c>
      <c r="B71" s="29">
        <f>B70/3.6</f>
        <v>7.784303711270002</v>
      </c>
      <c r="C71" s="152" t="s">
        <v>33</v>
      </c>
      <c r="D71" s="37"/>
      <c r="E71" s="154" t="s">
        <v>28</v>
      </c>
      <c r="F71" s="29">
        <f>F70/3.6</f>
        <v>7.585189693998822</v>
      </c>
      <c r="G71" s="152" t="s">
        <v>33</v>
      </c>
      <c r="H71" s="37"/>
      <c r="I71" s="154" t="s">
        <v>28</v>
      </c>
      <c r="J71" s="190">
        <f>J70/3.6</f>
        <v>5.388888888888888</v>
      </c>
      <c r="K71" s="152" t="s">
        <v>33</v>
      </c>
      <c r="L71" s="37"/>
      <c r="M71" s="154" t="s">
        <v>28</v>
      </c>
      <c r="N71" s="29">
        <f>N70/3.6</f>
        <v>8.05758428598611</v>
      </c>
      <c r="O71" s="152" t="s">
        <v>33</v>
      </c>
      <c r="P71" s="37"/>
      <c r="Q71" s="10" t="s">
        <v>28</v>
      </c>
      <c r="R71" s="29">
        <f>R70/3.6</f>
        <v>6.6389555555555555</v>
      </c>
      <c r="S71" s="8" t="s">
        <v>33</v>
      </c>
      <c r="T71" s="37"/>
      <c r="U71" s="10" t="s">
        <v>28</v>
      </c>
      <c r="V71" s="29">
        <f>V70/3.6</f>
        <v>5.607331508208333</v>
      </c>
      <c r="W71" s="8" t="s">
        <v>33</v>
      </c>
      <c r="X71" s="37"/>
      <c r="Y71" s="37"/>
      <c r="Z71" s="37"/>
      <c r="AA71" s="37"/>
      <c r="AB71" s="37"/>
      <c r="AC71" s="37"/>
      <c r="AD71" s="37"/>
      <c r="AE71" s="37"/>
      <c r="AF71" s="37"/>
    </row>
    <row r="72" spans="1:32" ht="12.75">
      <c r="A72" s="154" t="s">
        <v>30</v>
      </c>
      <c r="B72" s="29">
        <f>B77*(1-$B$12)</f>
        <v>26.77086099012201</v>
      </c>
      <c r="C72" s="152" t="s">
        <v>29</v>
      </c>
      <c r="D72" s="37"/>
      <c r="E72" s="154" t="s">
        <v>30</v>
      </c>
      <c r="F72" s="189">
        <f>(F67+2.4425*$B$10)/(1-$B$10)</f>
        <v>26.09937946884576</v>
      </c>
      <c r="G72" s="152" t="s">
        <v>29</v>
      </c>
      <c r="H72" s="37"/>
      <c r="I72" s="154" t="s">
        <v>30</v>
      </c>
      <c r="J72" s="29">
        <f>J77*(1-$B$12)</f>
        <v>18.147367629549997</v>
      </c>
      <c r="K72" s="152" t="s">
        <v>29</v>
      </c>
      <c r="L72" s="37"/>
      <c r="M72" s="154" t="s">
        <v>30</v>
      </c>
      <c r="N72" s="190">
        <f>N60</f>
        <v>27.8</v>
      </c>
      <c r="O72" s="152" t="s">
        <v>29</v>
      </c>
      <c r="P72" s="37"/>
      <c r="Q72" s="10" t="s">
        <v>30</v>
      </c>
      <c r="R72" s="29">
        <f>R77*(1-$B$12)</f>
        <v>22.647607629550002</v>
      </c>
      <c r="S72" s="8" t="s">
        <v>29</v>
      </c>
      <c r="T72" s="37"/>
      <c r="U72" s="10" t="s">
        <v>30</v>
      </c>
      <c r="V72" s="29">
        <f>V77*(1-$B$12)</f>
        <v>18.97909</v>
      </c>
      <c r="W72" s="8" t="s">
        <v>29</v>
      </c>
      <c r="X72" s="37"/>
      <c r="Y72" s="37"/>
      <c r="Z72" s="37"/>
      <c r="AA72" s="37"/>
      <c r="AB72" s="37"/>
      <c r="AC72" s="37"/>
      <c r="AD72" s="37"/>
      <c r="AE72" s="37"/>
      <c r="AF72" s="37"/>
    </row>
    <row r="73" spans="1:32" ht="12.75">
      <c r="A73" s="154" t="s">
        <v>30</v>
      </c>
      <c r="B73" s="29">
        <f>B72/3.6</f>
        <v>7.436350275033892</v>
      </c>
      <c r="C73" s="152" t="s">
        <v>33</v>
      </c>
      <c r="D73" s="37"/>
      <c r="E73" s="154" t="s">
        <v>30</v>
      </c>
      <c r="F73" s="29">
        <f>F72/3.6</f>
        <v>7.249827630234933</v>
      </c>
      <c r="G73" s="152" t="s">
        <v>33</v>
      </c>
      <c r="H73" s="37"/>
      <c r="I73" s="154" t="s">
        <v>30</v>
      </c>
      <c r="J73" s="29">
        <f>J72/3.6</f>
        <v>5.040935452652777</v>
      </c>
      <c r="K73" s="152" t="s">
        <v>33</v>
      </c>
      <c r="L73" s="37"/>
      <c r="M73" s="154" t="s">
        <v>30</v>
      </c>
      <c r="N73" s="190">
        <f>N72/3.6</f>
        <v>7.722222222222222</v>
      </c>
      <c r="O73" s="152" t="s">
        <v>33</v>
      </c>
      <c r="P73" s="37"/>
      <c r="Q73" s="10" t="s">
        <v>30</v>
      </c>
      <c r="R73" s="29">
        <f>R72/3.6</f>
        <v>6.291002119319445</v>
      </c>
      <c r="S73" s="8" t="s">
        <v>33</v>
      </c>
      <c r="T73" s="37"/>
      <c r="U73" s="10" t="s">
        <v>30</v>
      </c>
      <c r="V73" s="29">
        <f>V72/3.6</f>
        <v>5.271969444444444</v>
      </c>
      <c r="W73" s="8" t="s">
        <v>33</v>
      </c>
      <c r="X73" s="37"/>
      <c r="Y73" s="37"/>
      <c r="Z73" s="37"/>
      <c r="AA73" s="37"/>
      <c r="AB73" s="37"/>
      <c r="AC73" s="37"/>
      <c r="AD73" s="37"/>
      <c r="AE73" s="37"/>
      <c r="AF73" s="37"/>
    </row>
    <row r="74" spans="1:32" ht="12.75">
      <c r="A74" s="153" t="s">
        <v>12</v>
      </c>
      <c r="B74" s="29"/>
      <c r="C74" s="152"/>
      <c r="D74" s="37"/>
      <c r="E74" s="153" t="s">
        <v>12</v>
      </c>
      <c r="F74" s="29"/>
      <c r="G74" s="152"/>
      <c r="H74" s="37"/>
      <c r="I74" s="153" t="s">
        <v>12</v>
      </c>
      <c r="J74" s="29"/>
      <c r="K74" s="152"/>
      <c r="L74" s="37"/>
      <c r="M74" s="153" t="s">
        <v>12</v>
      </c>
      <c r="N74" s="29"/>
      <c r="O74" s="152"/>
      <c r="P74" s="37"/>
      <c r="Q74" s="9" t="s">
        <v>12</v>
      </c>
      <c r="R74" s="29"/>
      <c r="S74" s="8"/>
      <c r="T74" s="37"/>
      <c r="U74" s="9" t="s">
        <v>12</v>
      </c>
      <c r="V74" s="29"/>
      <c r="W74" s="8"/>
      <c r="X74" s="37"/>
      <c r="Y74" s="37"/>
      <c r="Z74" s="37"/>
      <c r="AA74" s="37"/>
      <c r="AB74" s="37"/>
      <c r="AC74" s="37"/>
      <c r="AD74" s="37"/>
      <c r="AE74" s="37"/>
      <c r="AF74" s="37"/>
    </row>
    <row r="75" spans="1:32" ht="12.75">
      <c r="A75" s="154" t="s">
        <v>28</v>
      </c>
      <c r="B75" s="29">
        <f>B60/(1-$B$10)/(1-$B$12)</f>
        <v>32.17393037953158</v>
      </c>
      <c r="C75" s="152" t="s">
        <v>29</v>
      </c>
      <c r="D75" s="37"/>
      <c r="E75" s="154" t="s">
        <v>28</v>
      </c>
      <c r="F75" s="29">
        <f>F77+212.1*$B$14/(1-$B$12)/10-0.775*$B$18/(1-$B$12)/10</f>
        <v>31.350956255333823</v>
      </c>
      <c r="G75" s="152" t="s">
        <v>29</v>
      </c>
      <c r="H75" s="37"/>
      <c r="I75" s="154" t="s">
        <v>28</v>
      </c>
      <c r="J75" s="29">
        <f>J60/(1-$B$12)</f>
        <v>22.27324913892078</v>
      </c>
      <c r="K75" s="152" t="s">
        <v>29</v>
      </c>
      <c r="L75" s="37"/>
      <c r="M75" s="154" t="s">
        <v>28</v>
      </c>
      <c r="N75" s="29">
        <f>N77+212.1*$B$14/(1-$B$12)/10-0.775*$B$18/(1-$B$12)/10</f>
        <v>33.3034482543628</v>
      </c>
      <c r="O75" s="152" t="s">
        <v>29</v>
      </c>
      <c r="P75" s="37"/>
      <c r="Q75" s="10" t="s">
        <v>28</v>
      </c>
      <c r="R75" s="190">
        <f>R60</f>
        <v>27.44</v>
      </c>
      <c r="S75" s="8" t="s">
        <v>29</v>
      </c>
      <c r="T75" s="37"/>
      <c r="U75" s="10" t="s">
        <v>28</v>
      </c>
      <c r="V75" s="29">
        <f>V77+212.1*$B$14/(1-$B$12)/10-0.775*$B$18/(1-$B$12)/10</f>
        <v>23.176111859414465</v>
      </c>
      <c r="W75" s="8" t="s">
        <v>29</v>
      </c>
      <c r="X75" s="37"/>
      <c r="Y75" s="37"/>
      <c r="Z75" s="37"/>
      <c r="AA75" s="37"/>
      <c r="AB75" s="37"/>
      <c r="AC75" s="37"/>
      <c r="AD75" s="37"/>
      <c r="AE75" s="37"/>
      <c r="AF75" s="37"/>
    </row>
    <row r="76" spans="1:32" ht="12.75">
      <c r="A76" s="154" t="s">
        <v>28</v>
      </c>
      <c r="B76" s="29">
        <f>B75/3.6</f>
        <v>8.937202883203218</v>
      </c>
      <c r="C76" s="152" t="s">
        <v>33</v>
      </c>
      <c r="D76" s="37"/>
      <c r="E76" s="154" t="s">
        <v>28</v>
      </c>
      <c r="F76" s="29">
        <f>F75/3.6</f>
        <v>8.708598959814951</v>
      </c>
      <c r="G76" s="152" t="s">
        <v>33</v>
      </c>
      <c r="H76" s="37"/>
      <c r="I76" s="154" t="s">
        <v>28</v>
      </c>
      <c r="J76" s="29">
        <f>J75/3.6</f>
        <v>6.187013649700216</v>
      </c>
      <c r="K76" s="152" t="s">
        <v>33</v>
      </c>
      <c r="L76" s="37"/>
      <c r="M76" s="154" t="s">
        <v>28</v>
      </c>
      <c r="N76" s="29">
        <f>N75/3.6</f>
        <v>9.25095784843411</v>
      </c>
      <c r="O76" s="152" t="s">
        <v>33</v>
      </c>
      <c r="P76" s="37"/>
      <c r="Q76" s="10" t="s">
        <v>28</v>
      </c>
      <c r="R76" s="190">
        <f>R75/3.6</f>
        <v>7.622222222222223</v>
      </c>
      <c r="S76" s="8" t="s">
        <v>33</v>
      </c>
      <c r="T76" s="37"/>
      <c r="U76" s="10" t="s">
        <v>28</v>
      </c>
      <c r="V76" s="29">
        <f>V75/3.6</f>
        <v>6.437808849837351</v>
      </c>
      <c r="W76" s="8" t="s">
        <v>33</v>
      </c>
      <c r="X76" s="37"/>
      <c r="Y76" s="37"/>
      <c r="Z76" s="37"/>
      <c r="AA76" s="37"/>
      <c r="AB76" s="37"/>
      <c r="AC76" s="37"/>
      <c r="AD76" s="37"/>
      <c r="AE76" s="37"/>
      <c r="AF76" s="37"/>
    </row>
    <row r="77" spans="1:32" ht="12.75">
      <c r="A77" s="154" t="s">
        <v>30</v>
      </c>
      <c r="B77" s="29">
        <f>B75-212.1*$B$14/(1-$B$12)/10-0.775*$B$18/(1-$B$12)/10</f>
        <v>30.73577610806201</v>
      </c>
      <c r="C77" s="152" t="s">
        <v>29</v>
      </c>
      <c r="D77" s="37"/>
      <c r="E77" s="154" t="s">
        <v>30</v>
      </c>
      <c r="F77" s="29">
        <f>F72/(1-$B$12)</f>
        <v>29.964844395919357</v>
      </c>
      <c r="G77" s="152" t="s">
        <v>29</v>
      </c>
      <c r="H77" s="37"/>
      <c r="I77" s="154" t="s">
        <v>30</v>
      </c>
      <c r="J77" s="29">
        <f>J75-212.1*$B$14/(1-$B$12)/10-0.775*$B$18/(1-$B$12)/10</f>
        <v>20.835094867451204</v>
      </c>
      <c r="K77" s="152" t="s">
        <v>29</v>
      </c>
      <c r="L77" s="37"/>
      <c r="M77" s="154" t="s">
        <v>30</v>
      </c>
      <c r="N77" s="29">
        <f>N60/(1-$B$12)</f>
        <v>31.917336394948336</v>
      </c>
      <c r="O77" s="152" t="s">
        <v>29</v>
      </c>
      <c r="P77" s="37"/>
      <c r="Q77" s="10" t="s">
        <v>30</v>
      </c>
      <c r="R77" s="29">
        <f>R75-212.1*$B$14/(1-$B$12)/10-0.775*$B$18/(1-$B$12)/10</f>
        <v>26.001845728530427</v>
      </c>
      <c r="S77" s="8" t="s">
        <v>29</v>
      </c>
      <c r="T77" s="37"/>
      <c r="U77" s="10" t="s">
        <v>30</v>
      </c>
      <c r="V77" s="190">
        <f>V60</f>
        <v>21.79</v>
      </c>
      <c r="W77" s="8" t="s">
        <v>29</v>
      </c>
      <c r="X77" s="37"/>
      <c r="Y77" s="37"/>
      <c r="Z77" s="37"/>
      <c r="AA77" s="37"/>
      <c r="AB77" s="37"/>
      <c r="AC77" s="37"/>
      <c r="AD77" s="37"/>
      <c r="AE77" s="37"/>
      <c r="AF77" s="37"/>
    </row>
    <row r="78" spans="1:32" ht="12.75">
      <c r="A78" s="156" t="s">
        <v>30</v>
      </c>
      <c r="B78" s="191">
        <f>B77/3.6</f>
        <v>8.53771558557278</v>
      </c>
      <c r="C78" s="157" t="s">
        <v>33</v>
      </c>
      <c r="D78" s="37"/>
      <c r="E78" s="156" t="s">
        <v>30</v>
      </c>
      <c r="F78" s="191">
        <f>F77/3.6</f>
        <v>8.323567887755377</v>
      </c>
      <c r="G78" s="157" t="s">
        <v>33</v>
      </c>
      <c r="H78" s="37"/>
      <c r="I78" s="156" t="s">
        <v>30</v>
      </c>
      <c r="J78" s="27">
        <f>J77/3.6</f>
        <v>5.787526352069778</v>
      </c>
      <c r="K78" s="157" t="s">
        <v>33</v>
      </c>
      <c r="L78" s="37"/>
      <c r="M78" s="156" t="s">
        <v>30</v>
      </c>
      <c r="N78" s="191">
        <f>N77/3.6</f>
        <v>8.865926776374538</v>
      </c>
      <c r="O78" s="157" t="s">
        <v>33</v>
      </c>
      <c r="P78" s="37"/>
      <c r="Q78" s="12" t="s">
        <v>30</v>
      </c>
      <c r="R78" s="191">
        <f>R77/3.6</f>
        <v>7.222734924591785</v>
      </c>
      <c r="S78" s="13" t="s">
        <v>33</v>
      </c>
      <c r="T78" s="37"/>
      <c r="U78" s="12" t="s">
        <v>30</v>
      </c>
      <c r="V78" s="192">
        <f>V77/3.6</f>
        <v>6.052777777777777</v>
      </c>
      <c r="W78" s="13" t="s">
        <v>33</v>
      </c>
      <c r="X78" s="37"/>
      <c r="Y78" s="37"/>
      <c r="Z78" s="37"/>
      <c r="AA78" s="37"/>
      <c r="AB78" s="37"/>
      <c r="AC78" s="37"/>
      <c r="AD78" s="37"/>
      <c r="AE78" s="37"/>
      <c r="AF78" s="37"/>
    </row>
    <row r="79" s="37" customFormat="1" ht="12.75"/>
    <row r="80" s="37" customFormat="1" ht="12.75"/>
    <row r="81" s="37" customFormat="1" ht="15.75">
      <c r="A81" s="135" t="s">
        <v>211</v>
      </c>
    </row>
    <row r="82" s="37" customFormat="1" ht="12.75"/>
    <row r="83" s="37" customFormat="1" ht="15.75">
      <c r="A83" s="49" t="s">
        <v>397</v>
      </c>
    </row>
    <row r="84" s="37" customFormat="1" ht="15.75">
      <c r="A84" s="49" t="s">
        <v>398</v>
      </c>
    </row>
    <row r="85" spans="1:4" s="37" customFormat="1" ht="15.75">
      <c r="A85" s="40" t="s">
        <v>198</v>
      </c>
      <c r="B85" s="46"/>
      <c r="C85" s="46"/>
      <c r="D85" s="46"/>
    </row>
    <row r="86" s="37" customFormat="1" ht="12.75"/>
    <row r="87" spans="1:32" ht="15">
      <c r="A87" s="14" t="s">
        <v>13</v>
      </c>
      <c r="B87" s="15"/>
      <c r="C87" s="15"/>
      <c r="D87" s="16"/>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row>
    <row r="88" spans="1:32" ht="15">
      <c r="A88" s="17"/>
      <c r="B88" s="18"/>
      <c r="C88" s="18"/>
      <c r="D88" s="19"/>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row>
    <row r="89" spans="1:32" ht="12.75">
      <c r="A89" s="20" t="s">
        <v>12</v>
      </c>
      <c r="B89" s="21"/>
      <c r="C89" s="21"/>
      <c r="D89" s="19"/>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row>
    <row r="90" spans="1:32" ht="12.75">
      <c r="A90" s="31" t="s">
        <v>30</v>
      </c>
      <c r="B90" s="134">
        <v>19.1</v>
      </c>
      <c r="C90" s="21" t="s">
        <v>27</v>
      </c>
      <c r="D90" s="19"/>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row>
    <row r="91" spans="1:32" ht="12.75">
      <c r="A91" s="31" t="s">
        <v>8</v>
      </c>
      <c r="B91" s="186">
        <v>0.5</v>
      </c>
      <c r="C91" s="21" t="s">
        <v>36</v>
      </c>
      <c r="D91" s="19"/>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row>
    <row r="92" spans="1:32" ht="12.75">
      <c r="A92" s="23" t="s">
        <v>7</v>
      </c>
      <c r="B92" s="170">
        <v>80</v>
      </c>
      <c r="C92" s="24" t="s">
        <v>37</v>
      </c>
      <c r="D92" s="33"/>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row>
    <row r="93" spans="1:32"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row>
    <row r="94" spans="1:32" ht="15">
      <c r="A94" s="3" t="s">
        <v>6</v>
      </c>
      <c r="B94" s="4"/>
      <c r="C94" s="5"/>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row>
    <row r="95" spans="1:32" ht="12.75">
      <c r="A95" s="6"/>
      <c r="B95" s="7"/>
      <c r="C95" s="8"/>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row>
    <row r="96" spans="1:32" ht="12.75">
      <c r="A96" s="9" t="s">
        <v>11</v>
      </c>
      <c r="B96" s="7"/>
      <c r="C96" s="8"/>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row>
    <row r="97" spans="1:32" ht="12.75">
      <c r="A97" s="10" t="s">
        <v>28</v>
      </c>
      <c r="B97" s="11">
        <f>B102*(1-$B$92/100)</f>
        <v>4.042360685909999</v>
      </c>
      <c r="C97" s="8" t="s">
        <v>29</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row>
    <row r="98" spans="1:32" ht="12.75">
      <c r="A98" s="10" t="s">
        <v>28</v>
      </c>
      <c r="B98" s="11">
        <f>B97/3.6</f>
        <v>1.1228779683083332</v>
      </c>
      <c r="C98" s="8" t="s">
        <v>33</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row>
    <row r="99" spans="1:32" ht="12.75">
      <c r="A99" s="10" t="s">
        <v>30</v>
      </c>
      <c r="B99" s="29">
        <f>B109*(1-$B$91/100)*(1-$B$92/100)-2.4425*(1-(1-$B$92/100))</f>
        <v>1.846899999999999</v>
      </c>
      <c r="C99" s="8" t="s">
        <v>29</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row>
    <row r="100" spans="1:32" ht="12.75">
      <c r="A100" s="10" t="s">
        <v>30</v>
      </c>
      <c r="B100" s="11">
        <f>B99/3.6</f>
        <v>0.5130277777777775</v>
      </c>
      <c r="C100" s="8" t="s">
        <v>33</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row>
    <row r="101" spans="1:32" ht="12.75">
      <c r="A101" s="9" t="s">
        <v>31</v>
      </c>
      <c r="B101" s="7"/>
      <c r="C101" s="8"/>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row>
    <row r="102" spans="1:32" ht="12.75">
      <c r="A102" s="10" t="s">
        <v>28</v>
      </c>
      <c r="B102" s="11">
        <f>B107*(1-$B$91/100)</f>
        <v>20.211803429550002</v>
      </c>
      <c r="C102" s="8" t="s">
        <v>29</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row>
    <row r="103" spans="1:32" ht="12.75">
      <c r="A103" s="10" t="s">
        <v>28</v>
      </c>
      <c r="B103" s="11">
        <f>B102/3.6</f>
        <v>5.6143898415416675</v>
      </c>
      <c r="C103" s="8" t="s">
        <v>33</v>
      </c>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row>
    <row r="104" spans="1:32" ht="12.75">
      <c r="A104" s="10" t="s">
        <v>30</v>
      </c>
      <c r="B104" s="11">
        <f>B109*(1-$B$91/100)</f>
        <v>19.0045</v>
      </c>
      <c r="C104" s="8" t="s">
        <v>29</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row>
    <row r="105" spans="1:32" ht="12.75">
      <c r="A105" s="10" t="s">
        <v>30</v>
      </c>
      <c r="B105" s="11">
        <f>B104/3.6</f>
        <v>5.279027777777777</v>
      </c>
      <c r="C105" s="8" t="s">
        <v>33</v>
      </c>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row>
    <row r="106" spans="1:32" ht="12.75">
      <c r="A106" s="9" t="s">
        <v>12</v>
      </c>
      <c r="B106" s="7"/>
      <c r="C106" s="8"/>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row>
    <row r="107" spans="1:32" ht="12.75">
      <c r="A107" s="10" t="s">
        <v>28</v>
      </c>
      <c r="B107" s="11">
        <f>B109+212.1*$B$14/(1-$B$91/100)/10-0.775*$B$18/(1-$B$91/100)/10</f>
        <v>20.313370280954775</v>
      </c>
      <c r="C107" s="8" t="s">
        <v>29</v>
      </c>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row>
    <row r="108" spans="1:32" ht="12.75">
      <c r="A108" s="10" t="s">
        <v>28</v>
      </c>
      <c r="B108" s="11">
        <f>B107/3.6</f>
        <v>5.642602855820771</v>
      </c>
      <c r="C108" s="8" t="s">
        <v>33</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row>
    <row r="109" spans="1:32" ht="12.75">
      <c r="A109" s="10" t="s">
        <v>30</v>
      </c>
      <c r="B109" s="30">
        <f>B90</f>
        <v>19.1</v>
      </c>
      <c r="C109" s="8" t="s">
        <v>29</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row>
    <row r="110" spans="1:32" ht="12.75">
      <c r="A110" s="12" t="s">
        <v>30</v>
      </c>
      <c r="B110" s="34">
        <f>B109/3.6</f>
        <v>5.305555555555556</v>
      </c>
      <c r="C110" s="13" t="s">
        <v>33</v>
      </c>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row>
    <row r="111" s="37" customFormat="1" ht="12.75"/>
    <row r="112" s="37" customFormat="1" ht="12.75"/>
    <row r="113" s="37" customFormat="1" ht="12.75"/>
    <row r="114" s="37" customFormat="1" ht="12.75"/>
    <row r="115" s="37" customFormat="1" ht="12.75"/>
    <row r="116" spans="1:32"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row>
    <row r="117" spans="1:32"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row>
    <row r="118" spans="1:32"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row>
    <row r="119" spans="1:32"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row>
    <row r="120" spans="1:32"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row>
    <row r="121" spans="1:32"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row>
    <row r="122" spans="1:32"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row>
    <row r="123" spans="1:32"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row>
    <row r="124" spans="1:32"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row>
    <row r="125" spans="1:32"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row>
    <row r="126" spans="1:32"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row>
    <row r="127" spans="1:32"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row>
    <row r="128" spans="1:32"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row>
    <row r="129" spans="1:32"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row>
    <row r="130" spans="1:32"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row>
    <row r="131" spans="1:32"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row>
    <row r="132" spans="1:32"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row>
    <row r="133" spans="1:32" ht="12.7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row>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Blad4"/>
  <dimension ref="A1:AU177"/>
  <sheetViews>
    <sheetView zoomScalePageLayoutView="0" workbookViewId="0" topLeftCell="A144">
      <selection activeCell="J151" sqref="J151"/>
    </sheetView>
  </sheetViews>
  <sheetFormatPr defaultColWidth="9.140625" defaultRowHeight="12.75"/>
  <cols>
    <col min="1" max="1" width="29.421875" style="0" customWidth="1"/>
    <col min="2" max="2" width="10.7109375" style="0" customWidth="1"/>
    <col min="3" max="3" width="18.00390625" style="0" customWidth="1"/>
    <col min="4" max="4" width="3.421875" style="37" customWidth="1"/>
    <col min="5" max="5" width="27.421875" style="0" customWidth="1"/>
    <col min="6" max="6" width="11.00390625" style="0" customWidth="1"/>
    <col min="7" max="7" width="18.00390625" style="0" customWidth="1"/>
    <col min="8" max="8" width="3.421875" style="37" customWidth="1"/>
    <col min="9" max="9" width="27.421875" style="0" customWidth="1"/>
    <col min="10" max="10" width="10.00390625" style="0" customWidth="1"/>
    <col min="11" max="11" width="18.00390625" style="0" customWidth="1"/>
  </cols>
  <sheetData>
    <row r="1" s="37" customFormat="1" ht="21.75">
      <c r="A1" s="50" t="s">
        <v>60</v>
      </c>
    </row>
    <row r="2" s="37" customFormat="1" ht="10.5" customHeight="1">
      <c r="A2" s="43"/>
    </row>
    <row r="3" s="37" customFormat="1" ht="15.75">
      <c r="A3" s="77" t="s">
        <v>149</v>
      </c>
    </row>
    <row r="4" s="37" customFormat="1" ht="9.75" customHeight="1">
      <c r="A4" s="77"/>
    </row>
    <row r="5" spans="1:9" s="37" customFormat="1" ht="12.75">
      <c r="A5" s="125" t="s">
        <v>401</v>
      </c>
      <c r="B5" s="125"/>
      <c r="C5" s="125"/>
      <c r="D5" s="125"/>
      <c r="E5" s="125"/>
      <c r="F5" s="125"/>
      <c r="G5" s="125"/>
      <c r="H5" s="125"/>
      <c r="I5" s="125"/>
    </row>
    <row r="6" spans="1:9" s="37" customFormat="1" ht="12.75">
      <c r="A6" s="125" t="s">
        <v>402</v>
      </c>
      <c r="B6" s="125"/>
      <c r="C6" s="125"/>
      <c r="D6" s="125"/>
      <c r="E6" s="125"/>
      <c r="F6" s="125"/>
      <c r="G6" s="125"/>
      <c r="H6" s="125"/>
      <c r="I6" s="125"/>
    </row>
    <row r="7" spans="1:9" s="37" customFormat="1" ht="12.75">
      <c r="A7" s="125" t="s">
        <v>185</v>
      </c>
      <c r="B7" s="125"/>
      <c r="C7" s="125"/>
      <c r="D7" s="125"/>
      <c r="E7" s="125"/>
      <c r="F7" s="125"/>
      <c r="G7" s="125"/>
      <c r="H7" s="125"/>
      <c r="I7" s="125"/>
    </row>
    <row r="8" spans="1:9" s="37" customFormat="1" ht="12.75">
      <c r="A8" s="125"/>
      <c r="B8" s="125"/>
      <c r="C8" s="125"/>
      <c r="D8" s="125"/>
      <c r="E8" s="125"/>
      <c r="F8" s="125"/>
      <c r="G8" s="125"/>
      <c r="H8" s="125"/>
      <c r="I8" s="125"/>
    </row>
    <row r="9" s="37" customFormat="1" ht="15.75">
      <c r="A9" s="128" t="s">
        <v>212</v>
      </c>
    </row>
    <row r="10" s="37" customFormat="1" ht="15">
      <c r="A10" s="43"/>
    </row>
    <row r="11" spans="1:5" s="37" customFormat="1" ht="15.75">
      <c r="A11" s="77" t="s">
        <v>275</v>
      </c>
      <c r="B11" s="44"/>
      <c r="C11" s="44"/>
      <c r="D11" s="44"/>
      <c r="E11" s="44"/>
    </row>
    <row r="12" spans="1:5" s="37" customFormat="1" ht="15.75">
      <c r="A12" s="40"/>
      <c r="B12" s="44"/>
      <c r="C12" s="44"/>
      <c r="D12" s="44"/>
      <c r="E12" s="44"/>
    </row>
    <row r="13" spans="1:17" ht="15">
      <c r="A13" s="194" t="s">
        <v>152</v>
      </c>
      <c r="B13" s="195"/>
      <c r="C13" s="196"/>
      <c r="E13" s="37"/>
      <c r="F13" s="37"/>
      <c r="G13" s="37"/>
      <c r="I13" s="37"/>
      <c r="J13" s="37"/>
      <c r="K13" s="37"/>
      <c r="L13" s="37"/>
      <c r="M13" s="37"/>
      <c r="N13" s="37"/>
      <c r="O13" s="37"/>
      <c r="P13" s="37"/>
      <c r="Q13" s="37"/>
    </row>
    <row r="14" spans="1:17" ht="15">
      <c r="A14" s="214"/>
      <c r="B14" s="199"/>
      <c r="C14" s="200"/>
      <c r="E14" s="37"/>
      <c r="F14" s="37"/>
      <c r="G14" s="37"/>
      <c r="I14" s="37"/>
      <c r="J14" s="37"/>
      <c r="K14" s="37"/>
      <c r="L14" s="37"/>
      <c r="M14" s="37"/>
      <c r="N14" s="37"/>
      <c r="O14" s="37"/>
      <c r="P14" s="37"/>
      <c r="Q14" s="37"/>
    </row>
    <row r="15" spans="1:17" ht="12.75">
      <c r="A15" s="210" t="s">
        <v>7</v>
      </c>
      <c r="B15" s="228">
        <f>Start!B9</f>
        <v>0.021</v>
      </c>
      <c r="C15" s="211" t="s">
        <v>37</v>
      </c>
      <c r="E15" s="37"/>
      <c r="F15" s="37"/>
      <c r="G15" s="37"/>
      <c r="I15" s="37"/>
      <c r="J15" s="37"/>
      <c r="K15" s="37"/>
      <c r="L15" s="37"/>
      <c r="M15" s="37"/>
      <c r="N15" s="37"/>
      <c r="O15" s="37"/>
      <c r="P15" s="37"/>
      <c r="Q15" s="37"/>
    </row>
    <row r="16" spans="1:17" ht="12.75">
      <c r="A16" s="212" t="s">
        <v>316</v>
      </c>
      <c r="B16" s="228"/>
      <c r="C16" s="211"/>
      <c r="E16" s="37"/>
      <c r="F16" s="37"/>
      <c r="G16" s="37"/>
      <c r="I16" s="37"/>
      <c r="J16" s="37"/>
      <c r="K16" s="37"/>
      <c r="L16" s="37"/>
      <c r="M16" s="37"/>
      <c r="N16" s="37"/>
      <c r="O16" s="37"/>
      <c r="P16" s="37"/>
      <c r="Q16" s="37"/>
    </row>
    <row r="17" spans="1:17" ht="12.75">
      <c r="A17" s="210" t="s">
        <v>8</v>
      </c>
      <c r="B17" s="228">
        <f>Start!B10*(1-$B$15)</f>
        <v>0.12629100000000001</v>
      </c>
      <c r="C17" s="211" t="s">
        <v>37</v>
      </c>
      <c r="E17" s="37"/>
      <c r="F17" s="37"/>
      <c r="G17" s="37"/>
      <c r="I17" s="37"/>
      <c r="J17" s="37"/>
      <c r="K17" s="37"/>
      <c r="L17" s="37"/>
      <c r="M17" s="37"/>
      <c r="N17" s="37"/>
      <c r="O17" s="37"/>
      <c r="P17" s="37"/>
      <c r="Q17" s="37"/>
    </row>
    <row r="18" spans="1:17" ht="12.75">
      <c r="A18" s="210" t="s">
        <v>1</v>
      </c>
      <c r="B18" s="228">
        <f>Start!B19*(1-$B$15)</f>
        <v>0.50609405</v>
      </c>
      <c r="C18" s="211" t="s">
        <v>37</v>
      </c>
      <c r="E18" s="38"/>
      <c r="F18" s="37"/>
      <c r="G18" s="37"/>
      <c r="I18" s="37"/>
      <c r="J18" s="37"/>
      <c r="K18" s="37"/>
      <c r="L18" s="37"/>
      <c r="M18" s="37"/>
      <c r="N18" s="37"/>
      <c r="O18" s="37"/>
      <c r="P18" s="37"/>
      <c r="Q18" s="37"/>
    </row>
    <row r="19" spans="1:17" ht="12.75">
      <c r="A19" s="210" t="s">
        <v>432</v>
      </c>
      <c r="B19" s="228">
        <f>Start!B20*(1-$B$15)</f>
        <v>0.05677221</v>
      </c>
      <c r="C19" s="211" t="s">
        <v>37</v>
      </c>
      <c r="E19" s="38"/>
      <c r="F19" s="37"/>
      <c r="G19" s="37"/>
      <c r="I19" s="37"/>
      <c r="J19" s="37"/>
      <c r="K19" s="37"/>
      <c r="L19" s="37"/>
      <c r="M19" s="37"/>
      <c r="N19" s="37"/>
      <c r="O19" s="37"/>
      <c r="P19" s="37"/>
      <c r="Q19" s="37"/>
    </row>
    <row r="20" spans="1:17" ht="12.75">
      <c r="A20" s="210" t="s">
        <v>3</v>
      </c>
      <c r="B20" s="231">
        <f>Start!B21*(1-$B$15)</f>
        <v>0.00039054267999999996</v>
      </c>
      <c r="C20" s="211" t="s">
        <v>37</v>
      </c>
      <c r="E20" s="38"/>
      <c r="F20" s="37"/>
      <c r="G20" s="37"/>
      <c r="I20" s="37"/>
      <c r="J20" s="37"/>
      <c r="K20" s="37"/>
      <c r="L20" s="37"/>
      <c r="M20" s="37"/>
      <c r="N20" s="37"/>
      <c r="O20" s="37"/>
      <c r="P20" s="37"/>
      <c r="Q20" s="37"/>
    </row>
    <row r="21" spans="1:17" ht="12.75">
      <c r="A21" s="210" t="s">
        <v>4</v>
      </c>
      <c r="B21" s="231">
        <f>Start!B22*(1-$B$15)</f>
        <v>0.0029529576999999998</v>
      </c>
      <c r="C21" s="211" t="s">
        <v>37</v>
      </c>
      <c r="E21" s="38"/>
      <c r="F21" s="37"/>
      <c r="G21" s="37"/>
      <c r="I21" s="37"/>
      <c r="J21" s="37"/>
      <c r="K21" s="37"/>
      <c r="L21" s="37"/>
      <c r="M21" s="37"/>
      <c r="N21" s="37"/>
      <c r="O21" s="37"/>
      <c r="P21" s="37"/>
      <c r="Q21" s="37"/>
    </row>
    <row r="22" spans="1:17" ht="12.75">
      <c r="A22" s="210" t="s">
        <v>5</v>
      </c>
      <c r="B22" s="231">
        <f>Start!B23*(1-$B$15)</f>
        <v>0.00019580000000000002</v>
      </c>
      <c r="C22" s="211" t="s">
        <v>37</v>
      </c>
      <c r="E22" s="38"/>
      <c r="F22" s="37"/>
      <c r="G22" s="37"/>
      <c r="I22" s="37"/>
      <c r="J22" s="37"/>
      <c r="K22" s="37"/>
      <c r="L22" s="37"/>
      <c r="M22" s="37"/>
      <c r="N22" s="37"/>
      <c r="O22" s="37"/>
      <c r="P22" s="37"/>
      <c r="Q22" s="37"/>
    </row>
    <row r="23" spans="1:17" ht="12.75">
      <c r="A23" s="208" t="s">
        <v>433</v>
      </c>
      <c r="B23" s="229">
        <f>1-SUM(B15:B22)</f>
        <v>0.28630343961999993</v>
      </c>
      <c r="C23" s="213" t="s">
        <v>37</v>
      </c>
      <c r="E23" s="38"/>
      <c r="F23" s="37"/>
      <c r="G23" s="37"/>
      <c r="I23" s="37"/>
      <c r="J23" s="37"/>
      <c r="K23" s="37"/>
      <c r="L23" s="37"/>
      <c r="M23" s="37"/>
      <c r="N23" s="37"/>
      <c r="O23" s="37"/>
      <c r="P23" s="37"/>
      <c r="Q23" s="37"/>
    </row>
    <row r="24" spans="1:17" ht="9" customHeight="1">
      <c r="A24" s="37"/>
      <c r="B24" s="37"/>
      <c r="C24" s="37"/>
      <c r="E24" s="37"/>
      <c r="F24" s="37"/>
      <c r="G24" s="37"/>
      <c r="I24" s="37"/>
      <c r="J24" s="37"/>
      <c r="K24" s="37"/>
      <c r="L24" s="37"/>
      <c r="M24" s="37"/>
      <c r="N24" s="37"/>
      <c r="O24" s="37"/>
      <c r="P24" s="37"/>
      <c r="Q24" s="37"/>
    </row>
    <row r="25" spans="1:17" ht="15">
      <c r="A25" s="3" t="s">
        <v>6</v>
      </c>
      <c r="B25" s="72"/>
      <c r="C25" s="5"/>
      <c r="D25" s="70"/>
      <c r="F25" s="37"/>
      <c r="G25" s="37"/>
      <c r="I25" s="37"/>
      <c r="J25" s="37"/>
      <c r="K25" s="37"/>
      <c r="L25" s="37"/>
      <c r="M25" s="37"/>
      <c r="N25" s="37"/>
      <c r="O25" s="37"/>
      <c r="P25" s="37"/>
      <c r="Q25" s="37"/>
    </row>
    <row r="26" spans="1:20" ht="12.75">
      <c r="A26" s="10"/>
      <c r="B26" s="11"/>
      <c r="C26" s="8"/>
      <c r="D26" s="70"/>
      <c r="E26" s="37"/>
      <c r="F26" s="37"/>
      <c r="G26" s="37"/>
      <c r="I26" s="37"/>
      <c r="J26" s="37"/>
      <c r="K26" s="37"/>
      <c r="L26" s="37"/>
      <c r="M26" s="37"/>
      <c r="N26" s="37"/>
      <c r="O26" s="37"/>
      <c r="P26" s="37"/>
      <c r="Q26" s="37"/>
      <c r="R26" s="37"/>
      <c r="S26" s="37"/>
      <c r="T26" s="37"/>
    </row>
    <row r="27" spans="1:20" ht="15">
      <c r="A27" s="10" t="s">
        <v>17</v>
      </c>
      <c r="B27" s="73">
        <f>8.88*B18+26.6*B19+3.33*B20-3.33*B23</f>
        <v>5.0521660031898</v>
      </c>
      <c r="C27" s="8" t="s">
        <v>98</v>
      </c>
      <c r="D27" s="70"/>
      <c r="E27" s="37"/>
      <c r="F27" s="37"/>
      <c r="G27" s="37"/>
      <c r="I27" s="37"/>
      <c r="J27" s="37"/>
      <c r="K27" s="37"/>
      <c r="L27" s="37"/>
      <c r="M27" s="37"/>
      <c r="N27" s="37"/>
      <c r="O27" s="37"/>
      <c r="P27" s="37"/>
      <c r="Q27" s="37"/>
      <c r="R27" s="37"/>
      <c r="S27" s="37"/>
      <c r="T27" s="37"/>
    </row>
    <row r="28" spans="1:20" ht="15">
      <c r="A28" s="10" t="s">
        <v>16</v>
      </c>
      <c r="B28" s="320">
        <f>8.88*B18+20.91*B19+3.31*B20+0.8*B21-2.63*B23</f>
        <v>4.931899091330201</v>
      </c>
      <c r="C28" s="8" t="s">
        <v>98</v>
      </c>
      <c r="D28" s="70"/>
      <c r="E28" s="37"/>
      <c r="F28" s="37"/>
      <c r="G28" s="37"/>
      <c r="I28" s="37"/>
      <c r="J28" s="37"/>
      <c r="K28" s="37"/>
      <c r="L28" s="37"/>
      <c r="M28" s="37"/>
      <c r="N28" s="37"/>
      <c r="O28" s="37"/>
      <c r="P28" s="37"/>
      <c r="Q28" s="37"/>
      <c r="R28" s="37"/>
      <c r="S28" s="37"/>
      <c r="T28" s="37"/>
    </row>
    <row r="29" spans="1:20" ht="15">
      <c r="A29" s="10" t="s">
        <v>18</v>
      </c>
      <c r="B29" s="11">
        <f>8.88*B18+20.91*B19+3.31*B20+0.8*B21-2.63*B23+11.12*B19+1.24*B15</f>
        <v>5.589246066530201</v>
      </c>
      <c r="C29" s="8" t="s">
        <v>98</v>
      </c>
      <c r="D29" s="70"/>
      <c r="E29" s="37"/>
      <c r="F29" s="37"/>
      <c r="G29" s="37"/>
      <c r="I29" s="37"/>
      <c r="J29" s="37"/>
      <c r="K29" s="37"/>
      <c r="L29" s="37"/>
      <c r="M29" s="37"/>
      <c r="N29" s="37"/>
      <c r="O29" s="37"/>
      <c r="P29" s="37"/>
      <c r="Q29" s="37"/>
      <c r="R29" s="37"/>
      <c r="S29" s="37"/>
      <c r="T29" s="37"/>
    </row>
    <row r="30" spans="1:20" ht="12.75">
      <c r="A30" s="9" t="s">
        <v>87</v>
      </c>
      <c r="B30" s="11"/>
      <c r="C30" s="8"/>
      <c r="D30" s="70"/>
      <c r="E30" s="37"/>
      <c r="F30" s="37"/>
      <c r="G30" s="37"/>
      <c r="I30" s="37"/>
      <c r="J30" s="37"/>
      <c r="K30" s="37"/>
      <c r="L30" s="37"/>
      <c r="M30" s="37"/>
      <c r="N30" s="37"/>
      <c r="O30" s="37"/>
      <c r="P30" s="37"/>
      <c r="Q30" s="37"/>
      <c r="R30" s="37"/>
      <c r="S30" s="37"/>
      <c r="T30" s="37"/>
    </row>
    <row r="31" spans="1:20" ht="15">
      <c r="A31" s="10" t="s">
        <v>90</v>
      </c>
      <c r="B31" s="73">
        <f>B18/12.01</f>
        <v>0.042139388009991674</v>
      </c>
      <c r="C31" s="8" t="s">
        <v>63</v>
      </c>
      <c r="D31" s="70"/>
      <c r="E31" s="37"/>
      <c r="F31" s="37"/>
      <c r="G31" s="37"/>
      <c r="I31" s="37"/>
      <c r="J31" s="37"/>
      <c r="K31" s="37"/>
      <c r="L31" s="37"/>
      <c r="M31" s="37"/>
      <c r="N31" s="37"/>
      <c r="O31" s="37"/>
      <c r="P31" s="37"/>
      <c r="Q31" s="37"/>
      <c r="R31" s="37"/>
      <c r="S31" s="37"/>
      <c r="T31" s="37"/>
    </row>
    <row r="32" spans="1:20" ht="15">
      <c r="A32" s="10" t="s">
        <v>91</v>
      </c>
      <c r="B32" s="188">
        <f>B19/2.016+B15/18.016</f>
        <v>0.02932644900300262</v>
      </c>
      <c r="C32" s="8" t="s">
        <v>63</v>
      </c>
      <c r="D32" s="70"/>
      <c r="E32" s="37"/>
      <c r="F32" s="37"/>
      <c r="G32" s="37"/>
      <c r="I32" s="37"/>
      <c r="J32" s="37"/>
      <c r="K32" s="37"/>
      <c r="L32" s="37"/>
      <c r="M32" s="37"/>
      <c r="N32" s="37"/>
      <c r="O32" s="37"/>
      <c r="P32" s="37"/>
      <c r="Q32" s="37"/>
      <c r="R32" s="37"/>
      <c r="S32" s="37"/>
      <c r="T32" s="37"/>
    </row>
    <row r="33" spans="1:20" ht="15">
      <c r="A33" s="10" t="s">
        <v>92</v>
      </c>
      <c r="B33" s="73">
        <f>B20/32.06</f>
        <v>1.2181618215845287E-05</v>
      </c>
      <c r="C33" s="8" t="s">
        <v>63</v>
      </c>
      <c r="D33" s="70"/>
      <c r="E33" s="37"/>
      <c r="F33" s="37"/>
      <c r="G33" s="37"/>
      <c r="I33" s="37"/>
      <c r="J33" s="37"/>
      <c r="K33" s="37"/>
      <c r="L33" s="37"/>
      <c r="M33" s="37"/>
      <c r="N33" s="37"/>
      <c r="O33" s="37"/>
      <c r="P33" s="37"/>
      <c r="Q33" s="37"/>
      <c r="R33" s="37"/>
      <c r="S33" s="37"/>
      <c r="T33" s="37"/>
    </row>
    <row r="34" spans="1:20" ht="15">
      <c r="A34" s="10" t="s">
        <v>93</v>
      </c>
      <c r="B34" s="73">
        <f>3.76*(B18/12.01+B19/4.032+B20/32.06-B23/32)+B21/28.02</f>
        <v>0.177896973835402</v>
      </c>
      <c r="C34" s="8" t="s">
        <v>63</v>
      </c>
      <c r="D34" s="70"/>
      <c r="E34" s="37"/>
      <c r="F34" s="37"/>
      <c r="G34" s="37"/>
      <c r="I34" s="37"/>
      <c r="J34" s="37"/>
      <c r="K34" s="37"/>
      <c r="L34" s="37"/>
      <c r="M34" s="37"/>
      <c r="N34" s="37"/>
      <c r="O34" s="37"/>
      <c r="P34" s="37"/>
      <c r="Q34" s="37"/>
      <c r="R34" s="37"/>
      <c r="S34" s="37"/>
      <c r="T34" s="37"/>
    </row>
    <row r="35" spans="1:20" ht="12.75">
      <c r="A35" s="10" t="s">
        <v>62</v>
      </c>
      <c r="B35" s="73">
        <f>SUM(B31:B34)</f>
        <v>0.24937499246661216</v>
      </c>
      <c r="C35" s="8" t="s">
        <v>63</v>
      </c>
      <c r="D35" s="70"/>
      <c r="E35" s="37"/>
      <c r="F35" s="37"/>
      <c r="G35" s="37"/>
      <c r="I35" s="37"/>
      <c r="J35" s="37"/>
      <c r="K35" s="37"/>
      <c r="L35" s="37"/>
      <c r="M35" s="37"/>
      <c r="N35" s="37"/>
      <c r="O35" s="37"/>
      <c r="P35" s="37"/>
      <c r="Q35" s="37"/>
      <c r="R35" s="37"/>
      <c r="S35" s="37"/>
      <c r="T35" s="37"/>
    </row>
    <row r="36" spans="1:20" ht="12.75">
      <c r="A36" s="9" t="s">
        <v>88</v>
      </c>
      <c r="B36" s="11"/>
      <c r="C36" s="8"/>
      <c r="D36" s="70"/>
      <c r="E36" s="37"/>
      <c r="F36" s="37"/>
      <c r="G36" s="37"/>
      <c r="I36" s="37"/>
      <c r="J36" s="37"/>
      <c r="K36" s="37"/>
      <c r="L36" s="37"/>
      <c r="M36" s="37"/>
      <c r="N36" s="37"/>
      <c r="O36" s="37"/>
      <c r="P36" s="37"/>
      <c r="Q36" s="37"/>
      <c r="R36" s="37"/>
      <c r="S36" s="37"/>
      <c r="T36" s="37"/>
    </row>
    <row r="37" spans="1:20" ht="15">
      <c r="A37" s="10" t="s">
        <v>90</v>
      </c>
      <c r="B37" s="74">
        <f>B31/(B35-B32)</f>
        <v>0.19150041780194954</v>
      </c>
      <c r="C37" s="8" t="s">
        <v>65</v>
      </c>
      <c r="D37" s="70"/>
      <c r="E37" s="37"/>
      <c r="F37" s="37"/>
      <c r="G37" s="37"/>
      <c r="I37" s="37"/>
      <c r="J37" s="37"/>
      <c r="K37" s="37"/>
      <c r="L37" s="37"/>
      <c r="M37" s="37"/>
      <c r="N37" s="37"/>
      <c r="O37" s="37"/>
      <c r="P37" s="37"/>
      <c r="Q37" s="37"/>
      <c r="R37" s="37"/>
      <c r="S37" s="37"/>
      <c r="T37" s="37"/>
    </row>
    <row r="38" spans="1:20" ht="15">
      <c r="A38" s="10" t="s">
        <v>91</v>
      </c>
      <c r="B38" s="74">
        <v>0</v>
      </c>
      <c r="C38" s="8" t="s">
        <v>65</v>
      </c>
      <c r="D38" s="70"/>
      <c r="E38" s="37"/>
      <c r="F38" s="37"/>
      <c r="G38" s="37"/>
      <c r="I38" s="37"/>
      <c r="J38" s="37"/>
      <c r="K38" s="37"/>
      <c r="L38" s="37"/>
      <c r="M38" s="37"/>
      <c r="N38" s="37"/>
      <c r="O38" s="37"/>
      <c r="P38" s="37"/>
      <c r="Q38" s="37"/>
      <c r="R38" s="37"/>
      <c r="S38" s="37"/>
      <c r="T38" s="37"/>
    </row>
    <row r="39" spans="1:20" ht="15">
      <c r="A39" s="10" t="s">
        <v>92</v>
      </c>
      <c r="B39" s="75">
        <f>B33/(B35-B32)</f>
        <v>5.535877685943338E-05</v>
      </c>
      <c r="C39" s="8" t="s">
        <v>65</v>
      </c>
      <c r="D39" s="70"/>
      <c r="E39" s="37"/>
      <c r="F39" s="37"/>
      <c r="G39" s="37"/>
      <c r="I39" s="37"/>
      <c r="J39" s="37"/>
      <c r="K39" s="37"/>
      <c r="L39" s="37"/>
      <c r="M39" s="37"/>
      <c r="N39" s="37"/>
      <c r="O39" s="37"/>
      <c r="P39" s="37"/>
      <c r="Q39" s="37"/>
      <c r="R39" s="37"/>
      <c r="S39" s="37"/>
      <c r="T39" s="37"/>
    </row>
    <row r="40" spans="1:20" ht="15">
      <c r="A40" s="10" t="s">
        <v>93</v>
      </c>
      <c r="B40" s="74">
        <f>B34/(B35-B32)</f>
        <v>0.808444223421191</v>
      </c>
      <c r="C40" s="8" t="s">
        <v>65</v>
      </c>
      <c r="D40" s="70"/>
      <c r="E40" s="37"/>
      <c r="F40" s="37"/>
      <c r="G40" s="37"/>
      <c r="I40" s="37"/>
      <c r="J40" s="37"/>
      <c r="K40" s="37"/>
      <c r="L40" s="37"/>
      <c r="M40" s="37"/>
      <c r="N40" s="37"/>
      <c r="O40" s="37"/>
      <c r="P40" s="37"/>
      <c r="Q40" s="37"/>
      <c r="R40" s="37"/>
      <c r="S40" s="37"/>
      <c r="T40" s="37"/>
    </row>
    <row r="41" spans="1:20" ht="12.75">
      <c r="A41" s="9" t="s">
        <v>89</v>
      </c>
      <c r="B41" s="74"/>
      <c r="C41" s="8"/>
      <c r="D41" s="70"/>
      <c r="E41" s="37"/>
      <c r="F41" s="37"/>
      <c r="G41" s="37"/>
      <c r="I41" s="37"/>
      <c r="J41" s="37"/>
      <c r="K41" s="37"/>
      <c r="L41" s="37"/>
      <c r="M41" s="37"/>
      <c r="N41" s="37"/>
      <c r="O41" s="37"/>
      <c r="P41" s="37"/>
      <c r="Q41" s="37"/>
      <c r="R41" s="37"/>
      <c r="S41" s="37"/>
      <c r="T41" s="37"/>
    </row>
    <row r="42" spans="1:20" ht="15">
      <c r="A42" s="10" t="s">
        <v>90</v>
      </c>
      <c r="B42" s="74">
        <f>B31/B35</f>
        <v>0.16898000714980896</v>
      </c>
      <c r="C42" s="8" t="s">
        <v>64</v>
      </c>
      <c r="D42" s="70"/>
      <c r="E42" s="37"/>
      <c r="F42" s="37"/>
      <c r="G42" s="37"/>
      <c r="I42" s="37"/>
      <c r="J42" s="37"/>
      <c r="K42" s="37"/>
      <c r="L42" s="37"/>
      <c r="M42" s="37"/>
      <c r="N42" s="37"/>
      <c r="O42" s="37"/>
      <c r="P42" s="37"/>
      <c r="Q42" s="37"/>
      <c r="R42" s="37"/>
      <c r="S42" s="37"/>
      <c r="T42" s="37"/>
    </row>
    <row r="43" spans="1:20" ht="15">
      <c r="A43" s="10" t="s">
        <v>91</v>
      </c>
      <c r="B43" s="74">
        <f>B32/B35</f>
        <v>0.11759979905334343</v>
      </c>
      <c r="C43" s="8" t="s">
        <v>64</v>
      </c>
      <c r="D43" s="70"/>
      <c r="E43" s="37"/>
      <c r="F43" s="37"/>
      <c r="G43" s="37"/>
      <c r="I43" s="37"/>
      <c r="J43" s="37"/>
      <c r="K43" s="37"/>
      <c r="L43" s="37"/>
      <c r="M43" s="37"/>
      <c r="N43" s="37"/>
      <c r="O43" s="37"/>
      <c r="P43" s="37"/>
      <c r="Q43" s="37"/>
      <c r="R43" s="37"/>
      <c r="S43" s="37"/>
      <c r="T43" s="37"/>
    </row>
    <row r="44" spans="1:20" ht="15">
      <c r="A44" s="10" t="s">
        <v>92</v>
      </c>
      <c r="B44" s="74">
        <f>B33/B35</f>
        <v>4.8848595824925135E-05</v>
      </c>
      <c r="C44" s="8" t="s">
        <v>64</v>
      </c>
      <c r="D44" s="70"/>
      <c r="E44" s="37"/>
      <c r="F44" s="37"/>
      <c r="G44" s="37"/>
      <c r="I44" s="37"/>
      <c r="J44" s="37"/>
      <c r="K44" s="37"/>
      <c r="L44" s="37"/>
      <c r="M44" s="37"/>
      <c r="N44" s="37"/>
      <c r="O44" s="37"/>
      <c r="P44" s="37"/>
      <c r="Q44" s="37"/>
      <c r="R44" s="37"/>
      <c r="S44" s="37"/>
      <c r="T44" s="37"/>
    </row>
    <row r="45" spans="1:20" ht="15">
      <c r="A45" s="12" t="s">
        <v>93</v>
      </c>
      <c r="B45" s="101">
        <f>B34/B35</f>
        <v>0.7133713452010226</v>
      </c>
      <c r="C45" s="13" t="s">
        <v>64</v>
      </c>
      <c r="D45" s="70"/>
      <c r="E45" s="37"/>
      <c r="F45" s="37"/>
      <c r="G45" s="37"/>
      <c r="I45" s="37"/>
      <c r="J45" s="37"/>
      <c r="K45" s="37"/>
      <c r="L45" s="37"/>
      <c r="M45" s="37"/>
      <c r="N45" s="37"/>
      <c r="O45" s="37"/>
      <c r="P45" s="37"/>
      <c r="Q45" s="37"/>
      <c r="R45" s="37"/>
      <c r="S45" s="37"/>
      <c r="T45" s="37"/>
    </row>
    <row r="46" spans="1:3" s="37" customFormat="1" ht="12.75">
      <c r="A46" s="38"/>
      <c r="C46" s="35"/>
    </row>
    <row r="47" spans="1:3" s="37" customFormat="1" ht="12.75">
      <c r="A47" s="38"/>
      <c r="C47" s="35"/>
    </row>
    <row r="48" spans="1:3" s="37" customFormat="1" ht="15.75">
      <c r="A48" s="128" t="s">
        <v>213</v>
      </c>
      <c r="C48" s="35"/>
    </row>
    <row r="49" spans="1:3" s="37" customFormat="1" ht="12.75">
      <c r="A49" s="38"/>
      <c r="C49" s="35"/>
    </row>
    <row r="50" s="40" customFormat="1" ht="18">
      <c r="A50" s="40" t="s">
        <v>197</v>
      </c>
    </row>
    <row r="51" s="40" customFormat="1" ht="15.75">
      <c r="A51" s="125" t="s">
        <v>184</v>
      </c>
    </row>
    <row r="52" s="40" customFormat="1" ht="15.75">
      <c r="A52" s="125"/>
    </row>
    <row r="53" spans="1:9" s="40" customFormat="1" ht="18">
      <c r="A53" s="40" t="s">
        <v>118</v>
      </c>
      <c r="E53" s="40" t="s">
        <v>171</v>
      </c>
      <c r="I53" s="40" t="s">
        <v>116</v>
      </c>
    </row>
    <row r="54" s="40" customFormat="1" ht="15.75"/>
    <row r="55" spans="1:20" ht="15">
      <c r="A55" s="14" t="s">
        <v>13</v>
      </c>
      <c r="B55" s="15"/>
      <c r="C55" s="54"/>
      <c r="E55" s="14" t="s">
        <v>13</v>
      </c>
      <c r="F55" s="15"/>
      <c r="G55" s="54"/>
      <c r="I55" s="14" t="s">
        <v>13</v>
      </c>
      <c r="J55" s="15"/>
      <c r="K55" s="54"/>
      <c r="L55" s="37"/>
      <c r="M55" s="37"/>
      <c r="N55" s="37"/>
      <c r="O55" s="37"/>
      <c r="P55" s="37"/>
      <c r="Q55" s="37"/>
      <c r="R55" s="37"/>
      <c r="S55" s="37"/>
      <c r="T55" s="37"/>
    </row>
    <row r="56" spans="1:20" ht="15">
      <c r="A56" s="17"/>
      <c r="B56" s="18"/>
      <c r="C56" s="22"/>
      <c r="E56" s="17"/>
      <c r="F56" s="18"/>
      <c r="G56" s="22"/>
      <c r="I56" s="17"/>
      <c r="J56" s="18"/>
      <c r="K56" s="22"/>
      <c r="L56" s="37"/>
      <c r="M56" s="37"/>
      <c r="N56" s="37"/>
      <c r="O56" s="37"/>
      <c r="P56" s="37"/>
      <c r="Q56" s="37"/>
      <c r="R56" s="37"/>
      <c r="S56" s="37"/>
      <c r="T56" s="37"/>
    </row>
    <row r="57" spans="1:20" ht="15">
      <c r="A57" s="23" t="s">
        <v>97</v>
      </c>
      <c r="B57" s="169">
        <v>6</v>
      </c>
      <c r="C57" s="25" t="s">
        <v>22</v>
      </c>
      <c r="E57" s="23" t="s">
        <v>115</v>
      </c>
      <c r="F57" s="170">
        <v>5</v>
      </c>
      <c r="G57" s="25" t="s">
        <v>22</v>
      </c>
      <c r="I57" s="23" t="s">
        <v>10</v>
      </c>
      <c r="J57" s="138">
        <v>1.12</v>
      </c>
      <c r="K57" s="25" t="s">
        <v>23</v>
      </c>
      <c r="L57" s="37"/>
      <c r="M57" s="37"/>
      <c r="N57" s="37"/>
      <c r="O57" s="37"/>
      <c r="P57" s="37"/>
      <c r="Q57" s="37"/>
      <c r="R57" s="37"/>
      <c r="S57" s="37"/>
      <c r="T57" s="37"/>
    </row>
    <row r="58" spans="1:45" ht="12.75">
      <c r="A58" s="35"/>
      <c r="B58" s="35"/>
      <c r="C58" s="35"/>
      <c r="E58" s="37"/>
      <c r="F58" s="37"/>
      <c r="G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row>
    <row r="59" spans="1:45" ht="15">
      <c r="A59" s="3" t="s">
        <v>6</v>
      </c>
      <c r="B59" s="72"/>
      <c r="C59" s="5"/>
      <c r="E59" s="3" t="s">
        <v>6</v>
      </c>
      <c r="F59" s="72"/>
      <c r="G59" s="5"/>
      <c r="I59" s="3" t="s">
        <v>6</v>
      </c>
      <c r="J59" s="72"/>
      <c r="K59" s="5"/>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row>
    <row r="60" spans="1:45" ht="12.75">
      <c r="A60" s="10"/>
      <c r="B60" s="11"/>
      <c r="C60" s="8"/>
      <c r="E60" s="10"/>
      <c r="F60" s="11"/>
      <c r="G60" s="8"/>
      <c r="I60" s="10"/>
      <c r="J60" s="11"/>
      <c r="K60" s="8"/>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row>
    <row r="61" spans="1:45" ht="12.75">
      <c r="A61" s="10" t="s">
        <v>10</v>
      </c>
      <c r="B61" s="11">
        <f>1+(B29/B27*(B57)/(21-B57))</f>
        <v>1.4425227566157806</v>
      </c>
      <c r="C61" s="8" t="s">
        <v>23</v>
      </c>
      <c r="E61" s="10" t="s">
        <v>10</v>
      </c>
      <c r="F61" s="11">
        <f>1+(B29/B27*(F81*100)/(21-F81*100))</f>
        <v>1.3905097076874577</v>
      </c>
      <c r="G61" s="8" t="s">
        <v>23</v>
      </c>
      <c r="I61" s="10"/>
      <c r="J61" s="73"/>
      <c r="K61" s="8"/>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row>
    <row r="62" spans="1:24" ht="15">
      <c r="A62" s="10" t="s">
        <v>14</v>
      </c>
      <c r="B62" s="11">
        <f>B61*B27</f>
        <v>7.287864429801881</v>
      </c>
      <c r="C62" s="8" t="s">
        <v>98</v>
      </c>
      <c r="E62" s="10" t="s">
        <v>14</v>
      </c>
      <c r="F62" s="11">
        <f>$F$61*B27</f>
        <v>7.02508587228396</v>
      </c>
      <c r="G62" s="8" t="s">
        <v>98</v>
      </c>
      <c r="I62" s="10" t="s">
        <v>14</v>
      </c>
      <c r="J62" s="11">
        <f>J57*B27</f>
        <v>5.658425923572577</v>
      </c>
      <c r="K62" s="8" t="s">
        <v>98</v>
      </c>
      <c r="L62" s="37"/>
      <c r="M62" s="37"/>
      <c r="N62" s="37"/>
      <c r="O62" s="37"/>
      <c r="P62" s="37"/>
      <c r="Q62" s="37"/>
      <c r="R62" s="37"/>
      <c r="S62" s="37"/>
      <c r="T62" s="37"/>
      <c r="U62" s="37"/>
      <c r="V62" s="37"/>
      <c r="W62" s="37"/>
      <c r="X62" s="37"/>
    </row>
    <row r="63" spans="1:24" ht="15">
      <c r="A63" s="10" t="s">
        <v>15</v>
      </c>
      <c r="B63" s="11">
        <f>B28+(B61-1)*B27</f>
        <v>7.167597517942282</v>
      </c>
      <c r="C63" s="8" t="s">
        <v>98</v>
      </c>
      <c r="E63" s="10" t="s">
        <v>15</v>
      </c>
      <c r="F63" s="11">
        <f>B28+(F61-1)*B27</f>
        <v>6.904818960424361</v>
      </c>
      <c r="G63" s="8" t="s">
        <v>98</v>
      </c>
      <c r="I63" s="10" t="s">
        <v>15</v>
      </c>
      <c r="J63" s="11">
        <f>B29+(J57-1)*B27</f>
        <v>6.195505986912978</v>
      </c>
      <c r="K63" s="8" t="s">
        <v>98</v>
      </c>
      <c r="L63" s="37"/>
      <c r="M63" s="37"/>
      <c r="N63" s="37"/>
      <c r="O63" s="37"/>
      <c r="P63" s="37"/>
      <c r="Q63" s="37"/>
      <c r="R63" s="37"/>
      <c r="S63" s="37"/>
      <c r="T63" s="37"/>
      <c r="U63" s="37"/>
      <c r="V63" s="37"/>
      <c r="W63" s="37"/>
      <c r="X63" s="37"/>
    </row>
    <row r="64" spans="1:24" ht="15">
      <c r="A64" s="10" t="s">
        <v>19</v>
      </c>
      <c r="B64" s="11">
        <f>B29+(B61-1)*B27</f>
        <v>7.824944493142281</v>
      </c>
      <c r="C64" s="8" t="s">
        <v>98</v>
      </c>
      <c r="E64" s="10" t="s">
        <v>19</v>
      </c>
      <c r="F64" s="11">
        <f>B29+(F61-1)*B27</f>
        <v>7.562165935624361</v>
      </c>
      <c r="G64" s="8" t="s">
        <v>98</v>
      </c>
      <c r="I64" s="10" t="s">
        <v>19</v>
      </c>
      <c r="J64" s="11">
        <f>B29+(J57-1)*B27</f>
        <v>6.195505986912978</v>
      </c>
      <c r="K64" s="8" t="s">
        <v>98</v>
      </c>
      <c r="L64" s="37"/>
      <c r="M64" s="37"/>
      <c r="N64" s="37"/>
      <c r="O64" s="37"/>
      <c r="P64" s="37"/>
      <c r="Q64" s="37"/>
      <c r="R64" s="37"/>
      <c r="S64" s="37"/>
      <c r="T64" s="37"/>
      <c r="U64" s="37"/>
      <c r="V64" s="37"/>
      <c r="W64" s="37"/>
      <c r="X64" s="37"/>
    </row>
    <row r="65" spans="1:24" ht="12.75">
      <c r="A65" s="10"/>
      <c r="B65" s="11"/>
      <c r="C65" s="8"/>
      <c r="E65" s="10"/>
      <c r="F65" s="11"/>
      <c r="G65" s="8"/>
      <c r="I65" s="10"/>
      <c r="J65" s="11"/>
      <c r="K65" s="8"/>
      <c r="L65" s="37"/>
      <c r="M65" s="37"/>
      <c r="N65" s="37"/>
      <c r="O65" s="37"/>
      <c r="P65" s="37"/>
      <c r="Q65" s="37"/>
      <c r="R65" s="37"/>
      <c r="S65" s="37"/>
      <c r="T65" s="37"/>
      <c r="U65" s="37"/>
      <c r="V65" s="37"/>
      <c r="W65" s="37"/>
      <c r="X65" s="37"/>
    </row>
    <row r="66" spans="1:24" ht="12.75">
      <c r="A66" s="9" t="s">
        <v>111</v>
      </c>
      <c r="B66" s="11"/>
      <c r="C66" s="8"/>
      <c r="E66" s="9" t="s">
        <v>111</v>
      </c>
      <c r="F66" s="11"/>
      <c r="G66" s="8"/>
      <c r="I66" s="9" t="s">
        <v>111</v>
      </c>
      <c r="J66" s="11"/>
      <c r="K66" s="8"/>
      <c r="L66" s="37"/>
      <c r="M66" s="37"/>
      <c r="N66" s="37"/>
      <c r="O66" s="37"/>
      <c r="P66" s="37"/>
      <c r="Q66" s="37"/>
      <c r="R66" s="37"/>
      <c r="S66" s="37"/>
      <c r="T66" s="37"/>
      <c r="U66" s="37"/>
      <c r="V66" s="37"/>
      <c r="W66" s="37"/>
      <c r="X66" s="37"/>
    </row>
    <row r="67" spans="1:24" ht="12.75">
      <c r="A67" s="9"/>
      <c r="B67" s="11"/>
      <c r="C67" s="8"/>
      <c r="E67" s="10"/>
      <c r="F67" s="11"/>
      <c r="G67" s="8"/>
      <c r="I67" s="10"/>
      <c r="J67" s="11"/>
      <c r="K67" s="8"/>
      <c r="L67" s="37"/>
      <c r="M67" s="37"/>
      <c r="N67" s="37"/>
      <c r="O67" s="37"/>
      <c r="P67" s="37"/>
      <c r="Q67" s="37"/>
      <c r="R67" s="37"/>
      <c r="S67" s="37"/>
      <c r="T67" s="37"/>
      <c r="U67" s="37"/>
      <c r="V67" s="37"/>
      <c r="W67" s="37"/>
      <c r="X67" s="37"/>
    </row>
    <row r="68" spans="1:24" ht="12.75">
      <c r="A68" s="9" t="s">
        <v>108</v>
      </c>
      <c r="B68" s="11"/>
      <c r="C68" s="8"/>
      <c r="E68" s="9" t="s">
        <v>108</v>
      </c>
      <c r="F68" s="11"/>
      <c r="G68" s="8"/>
      <c r="I68" s="9" t="s">
        <v>108</v>
      </c>
      <c r="J68" s="11"/>
      <c r="K68" s="8"/>
      <c r="L68" s="37"/>
      <c r="M68" s="37"/>
      <c r="N68" s="37"/>
      <c r="O68" s="37"/>
      <c r="P68" s="37"/>
      <c r="Q68" s="37"/>
      <c r="R68" s="37"/>
      <c r="S68" s="37"/>
      <c r="T68" s="37"/>
      <c r="U68" s="37"/>
      <c r="V68" s="37"/>
      <c r="W68" s="37"/>
      <c r="X68" s="37"/>
    </row>
    <row r="69" spans="1:24" ht="15">
      <c r="A69" s="10" t="s">
        <v>90</v>
      </c>
      <c r="B69" s="73">
        <f>B31</f>
        <v>0.042139388009991674</v>
      </c>
      <c r="C69" s="8" t="s">
        <v>63</v>
      </c>
      <c r="E69" s="10" t="s">
        <v>90</v>
      </c>
      <c r="F69" s="73">
        <f>B31</f>
        <v>0.042139388009991674</v>
      </c>
      <c r="G69" s="8" t="s">
        <v>63</v>
      </c>
      <c r="I69" s="10" t="s">
        <v>90</v>
      </c>
      <c r="J69" s="73">
        <f>B31</f>
        <v>0.042139388009991674</v>
      </c>
      <c r="K69" s="8" t="s">
        <v>63</v>
      </c>
      <c r="L69" s="37"/>
      <c r="M69" s="37"/>
      <c r="N69" s="37"/>
      <c r="O69" s="37"/>
      <c r="P69" s="37"/>
      <c r="Q69" s="37"/>
      <c r="R69" s="37"/>
      <c r="S69" s="37"/>
      <c r="T69" s="37"/>
      <c r="U69" s="37"/>
      <c r="V69" s="37"/>
      <c r="W69" s="37"/>
      <c r="X69" s="37"/>
    </row>
    <row r="70" spans="1:24" ht="15">
      <c r="A70" s="10" t="s">
        <v>92</v>
      </c>
      <c r="B70" s="73">
        <f>B33</f>
        <v>1.2181618215845287E-05</v>
      </c>
      <c r="C70" s="8" t="s">
        <v>63</v>
      </c>
      <c r="E70" s="10" t="s">
        <v>92</v>
      </c>
      <c r="F70" s="73">
        <f>B33</f>
        <v>1.2181618215845287E-05</v>
      </c>
      <c r="G70" s="8" t="s">
        <v>63</v>
      </c>
      <c r="I70" s="10" t="s">
        <v>92</v>
      </c>
      <c r="J70" s="73">
        <f>B33</f>
        <v>1.2181618215845287E-05</v>
      </c>
      <c r="K70" s="8" t="s">
        <v>63</v>
      </c>
      <c r="L70" s="37"/>
      <c r="M70" s="37"/>
      <c r="N70" s="37"/>
      <c r="O70" s="37"/>
      <c r="P70" s="37"/>
      <c r="Q70" s="37"/>
      <c r="R70" s="37"/>
      <c r="S70" s="37"/>
      <c r="T70" s="37"/>
      <c r="U70" s="37"/>
      <c r="V70" s="37"/>
      <c r="W70" s="37"/>
      <c r="X70" s="37"/>
    </row>
    <row r="71" spans="1:24" ht="15">
      <c r="A71" s="10" t="s">
        <v>93</v>
      </c>
      <c r="B71" s="73">
        <f>B34*(1-B21/28.02)*B61</f>
        <v>0.25659338850521507</v>
      </c>
      <c r="C71" s="8" t="s">
        <v>63</v>
      </c>
      <c r="E71" s="10" t="s">
        <v>93</v>
      </c>
      <c r="F71" s="73">
        <f>B34*(1-B21/28.02)*F61</f>
        <v>0.24734139964764124</v>
      </c>
      <c r="G71" s="8" t="s">
        <v>63</v>
      </c>
      <c r="I71" s="10" t="s">
        <v>93</v>
      </c>
      <c r="J71" s="73">
        <f>B34*(1-B21/28.02)*J57</f>
        <v>0.19922361280459613</v>
      </c>
      <c r="K71" s="8" t="s">
        <v>63</v>
      </c>
      <c r="L71" s="37"/>
      <c r="M71" s="37"/>
      <c r="N71" s="37"/>
      <c r="O71" s="37"/>
      <c r="P71" s="37"/>
      <c r="Q71" s="37"/>
      <c r="R71" s="37"/>
      <c r="S71" s="37"/>
      <c r="T71" s="37"/>
      <c r="U71" s="37"/>
      <c r="V71" s="37"/>
      <c r="W71" s="37"/>
      <c r="X71" s="37"/>
    </row>
    <row r="72" spans="1:24" ht="15">
      <c r="A72" s="10" t="s">
        <v>94</v>
      </c>
      <c r="B72" s="73">
        <f>B81*B74</f>
        <v>0.019068827114899316</v>
      </c>
      <c r="C72" s="8" t="s">
        <v>63</v>
      </c>
      <c r="E72" s="10" t="s">
        <v>94</v>
      </c>
      <c r="F72" s="73">
        <f>F88*F75</f>
        <v>0.016779969383097434</v>
      </c>
      <c r="G72" s="8" t="s">
        <v>63</v>
      </c>
      <c r="I72" s="10" t="s">
        <v>94</v>
      </c>
      <c r="J72" s="73">
        <f>IF(ISERR(J74),F72,J81*J74)</f>
        <v>0.005064207557339511</v>
      </c>
      <c r="K72" s="8" t="s">
        <v>63</v>
      </c>
      <c r="L72" s="37"/>
      <c r="M72" s="37"/>
      <c r="N72" s="37"/>
      <c r="O72" s="37"/>
      <c r="P72" s="37"/>
      <c r="Q72" s="37"/>
      <c r="R72" s="37"/>
      <c r="S72" s="37"/>
      <c r="T72" s="37"/>
      <c r="U72" s="37"/>
      <c r="V72" s="37"/>
      <c r="W72" s="37"/>
      <c r="X72" s="37"/>
    </row>
    <row r="73" spans="1:24" ht="15">
      <c r="A73" s="10" t="s">
        <v>91</v>
      </c>
      <c r="B73" s="73">
        <f>B32</f>
        <v>0.02932644900300262</v>
      </c>
      <c r="C73" s="8" t="s">
        <v>63</v>
      </c>
      <c r="E73" s="10" t="s">
        <v>91</v>
      </c>
      <c r="F73" s="73">
        <f>B32</f>
        <v>0.02932644900300262</v>
      </c>
      <c r="G73" s="8" t="s">
        <v>63</v>
      </c>
      <c r="I73" s="10" t="s">
        <v>91</v>
      </c>
      <c r="J73" s="73">
        <f>B32</f>
        <v>0.02932644900300262</v>
      </c>
      <c r="K73" s="8" t="s">
        <v>63</v>
      </c>
      <c r="L73" s="37"/>
      <c r="M73" s="37"/>
      <c r="N73" s="37"/>
      <c r="O73" s="37"/>
      <c r="P73" s="37"/>
      <c r="Q73" s="37"/>
      <c r="R73" s="37"/>
      <c r="S73" s="37"/>
      <c r="T73" s="37"/>
      <c r="U73" s="37"/>
      <c r="V73" s="37"/>
      <c r="W73" s="37"/>
      <c r="X73" s="37"/>
    </row>
    <row r="74" spans="1:24" ht="12.75">
      <c r="A74" s="10" t="s">
        <v>95</v>
      </c>
      <c r="B74" s="73">
        <f>SUM(B69:B72)</f>
        <v>0.31781378524832193</v>
      </c>
      <c r="C74" s="8" t="s">
        <v>63</v>
      </c>
      <c r="E74" s="10" t="s">
        <v>95</v>
      </c>
      <c r="F74" s="73">
        <f>SUM(F69:F72)</f>
        <v>0.3062729386589462</v>
      </c>
      <c r="G74" s="8" t="s">
        <v>63</v>
      </c>
      <c r="I74" s="10" t="s">
        <v>95</v>
      </c>
      <c r="J74" s="73">
        <f>SUM(J69:J72)</f>
        <v>0.24643938999014317</v>
      </c>
      <c r="K74" s="8" t="s">
        <v>63</v>
      </c>
      <c r="L74" s="37"/>
      <c r="M74" s="37"/>
      <c r="N74" s="37"/>
      <c r="O74" s="37"/>
      <c r="P74" s="37"/>
      <c r="Q74" s="37"/>
      <c r="R74" s="37"/>
      <c r="S74" s="37"/>
      <c r="T74" s="37"/>
      <c r="U74" s="37"/>
      <c r="V74" s="37"/>
      <c r="W74" s="37"/>
      <c r="X74" s="37"/>
    </row>
    <row r="75" spans="1:24" ht="12.75">
      <c r="A75" s="10" t="s">
        <v>96</v>
      </c>
      <c r="B75" s="73">
        <f>B74+B73</f>
        <v>0.34714023425132456</v>
      </c>
      <c r="C75" s="8" t="s">
        <v>63</v>
      </c>
      <c r="E75" s="10" t="s">
        <v>96</v>
      </c>
      <c r="F75" s="73">
        <f>F73+F74</f>
        <v>0.33559938766194886</v>
      </c>
      <c r="G75" s="8" t="s">
        <v>63</v>
      </c>
      <c r="I75" s="10" t="s">
        <v>96</v>
      </c>
      <c r="J75" s="73">
        <f>J74+J73</f>
        <v>0.2757658389931458</v>
      </c>
      <c r="K75" s="8" t="s">
        <v>63</v>
      </c>
      <c r="L75" s="37"/>
      <c r="M75" s="37"/>
      <c r="N75" s="37"/>
      <c r="O75" s="37"/>
      <c r="P75" s="37"/>
      <c r="Q75" s="37"/>
      <c r="R75" s="37"/>
      <c r="S75" s="37"/>
      <c r="T75" s="37"/>
      <c r="U75" s="37"/>
      <c r="V75" s="37"/>
      <c r="W75" s="37"/>
      <c r="X75" s="37"/>
    </row>
    <row r="76" spans="1:24" ht="12.75">
      <c r="A76" s="115"/>
      <c r="B76" s="113"/>
      <c r="C76" s="65"/>
      <c r="E76" s="10"/>
      <c r="F76" s="100"/>
      <c r="G76" s="8"/>
      <c r="I76" s="10"/>
      <c r="J76" s="100"/>
      <c r="K76" s="8"/>
      <c r="L76" s="37"/>
      <c r="M76" s="37"/>
      <c r="N76" s="37"/>
      <c r="O76" s="37"/>
      <c r="P76" s="37"/>
      <c r="Q76" s="37"/>
      <c r="R76" s="37"/>
      <c r="S76" s="37"/>
      <c r="T76" s="37"/>
      <c r="U76" s="37"/>
      <c r="V76" s="37"/>
      <c r="W76" s="37"/>
      <c r="X76" s="37"/>
    </row>
    <row r="77" spans="1:24" ht="12.75">
      <c r="A77" s="9" t="s">
        <v>109</v>
      </c>
      <c r="B77" s="100"/>
      <c r="C77" s="8"/>
      <c r="E77" s="9" t="s">
        <v>88</v>
      </c>
      <c r="F77" s="100"/>
      <c r="G77" s="8"/>
      <c r="I77" s="9" t="s">
        <v>88</v>
      </c>
      <c r="J77" s="100"/>
      <c r="K77" s="8"/>
      <c r="L77" s="37"/>
      <c r="M77" s="37"/>
      <c r="N77" s="37"/>
      <c r="O77" s="37"/>
      <c r="P77" s="37"/>
      <c r="Q77" s="37"/>
      <c r="R77" s="37"/>
      <c r="S77" s="37"/>
      <c r="T77" s="37"/>
      <c r="U77" s="37"/>
      <c r="V77" s="37"/>
      <c r="W77" s="37"/>
      <c r="X77" s="37"/>
    </row>
    <row r="78" spans="1:24" ht="15">
      <c r="A78" s="10" t="s">
        <v>90</v>
      </c>
      <c r="B78" s="74">
        <f>B69/B74</f>
        <v>0.13259144180000346</v>
      </c>
      <c r="C78" s="8" t="s">
        <v>65</v>
      </c>
      <c r="E78" s="10" t="s">
        <v>90</v>
      </c>
      <c r="F78" s="74">
        <f>F69/F74</f>
        <v>0.13758769610695668</v>
      </c>
      <c r="G78" s="8" t="s">
        <v>65</v>
      </c>
      <c r="I78" s="10" t="s">
        <v>90</v>
      </c>
      <c r="J78" s="74">
        <f>J69/J74</f>
        <v>0.17099290828335975</v>
      </c>
      <c r="K78" s="8" t="s">
        <v>65</v>
      </c>
      <c r="L78" s="37"/>
      <c r="M78" s="37"/>
      <c r="N78" s="37"/>
      <c r="O78" s="37"/>
      <c r="P78" s="37"/>
      <c r="Q78" s="37"/>
      <c r="R78" s="37"/>
      <c r="S78" s="37"/>
      <c r="T78" s="37"/>
      <c r="U78" s="37"/>
      <c r="V78" s="37"/>
      <c r="W78" s="37"/>
      <c r="X78" s="37"/>
    </row>
    <row r="79" spans="1:24" ht="15">
      <c r="A79" s="10" t="s">
        <v>92</v>
      </c>
      <c r="B79" s="74">
        <f>B70/B74</f>
        <v>3.832942050115055E-05</v>
      </c>
      <c r="C79" s="8" t="s">
        <v>65</v>
      </c>
      <c r="E79" s="10" t="s">
        <v>92</v>
      </c>
      <c r="F79" s="74">
        <f>F70/F74</f>
        <v>3.977373341955709E-05</v>
      </c>
      <c r="G79" s="8" t="s">
        <v>65</v>
      </c>
      <c r="I79" s="10" t="s">
        <v>92</v>
      </c>
      <c r="J79" s="74">
        <f>J70/J74</f>
        <v>4.943048356162753E-05</v>
      </c>
      <c r="K79" s="8" t="s">
        <v>65</v>
      </c>
      <c r="L79" s="37"/>
      <c r="M79" s="37"/>
      <c r="N79" s="37"/>
      <c r="O79" s="37"/>
      <c r="P79" s="37"/>
      <c r="Q79" s="37"/>
      <c r="R79" s="37"/>
      <c r="S79" s="37"/>
      <c r="T79" s="37"/>
      <c r="U79" s="37"/>
      <c r="V79" s="37"/>
      <c r="W79" s="37"/>
      <c r="X79" s="37"/>
    </row>
    <row r="80" spans="1:24" ht="15">
      <c r="A80" s="10" t="s">
        <v>93</v>
      </c>
      <c r="B80" s="74">
        <f>B71/B74</f>
        <v>0.8073702287794953</v>
      </c>
      <c r="C80" s="8" t="s">
        <v>65</v>
      </c>
      <c r="E80" s="10" t="s">
        <v>93</v>
      </c>
      <c r="F80" s="74">
        <f>F71/F74</f>
        <v>0.8075848970877284</v>
      </c>
      <c r="G80" s="8" t="s">
        <v>65</v>
      </c>
      <c r="I80" s="10" t="s">
        <v>93</v>
      </c>
      <c r="J80" s="74">
        <f>J71/J74</f>
        <v>0.8084081559062635</v>
      </c>
      <c r="K80" s="8" t="s">
        <v>65</v>
      </c>
      <c r="L80" s="37"/>
      <c r="M80" s="37"/>
      <c r="N80" s="37"/>
      <c r="O80" s="37"/>
      <c r="P80" s="37"/>
      <c r="Q80" s="37"/>
      <c r="R80" s="37"/>
      <c r="S80" s="37"/>
      <c r="T80" s="37"/>
      <c r="U80" s="37"/>
      <c r="V80" s="37"/>
      <c r="W80" s="37"/>
      <c r="X80" s="37"/>
    </row>
    <row r="81" spans="1:24" ht="15">
      <c r="A81" s="10" t="s">
        <v>94</v>
      </c>
      <c r="B81" s="74">
        <f>B57/100</f>
        <v>0.06</v>
      </c>
      <c r="C81" s="8" t="s">
        <v>65</v>
      </c>
      <c r="E81" s="10" t="s">
        <v>94</v>
      </c>
      <c r="F81" s="74">
        <f>F72/F74</f>
        <v>0.05478763307189527</v>
      </c>
      <c r="G81" s="8" t="s">
        <v>65</v>
      </c>
      <c r="I81" s="10" t="s">
        <v>94</v>
      </c>
      <c r="J81" s="74">
        <f>(21*(J57-1)*B27/B29)/(1+(J57-1)*B27/B29)/100</f>
        <v>0.0205495053268151</v>
      </c>
      <c r="K81" s="8" t="s">
        <v>65</v>
      </c>
      <c r="L81" s="37"/>
      <c r="M81" s="37"/>
      <c r="N81" s="37"/>
      <c r="O81" s="37"/>
      <c r="P81" s="37"/>
      <c r="Q81" s="37"/>
      <c r="R81" s="37"/>
      <c r="S81" s="37"/>
      <c r="T81" s="37"/>
      <c r="U81" s="37"/>
      <c r="V81" s="37"/>
      <c r="W81" s="37"/>
      <c r="X81" s="37"/>
    </row>
    <row r="82" spans="1:24" ht="12.75">
      <c r="A82" s="10" t="s">
        <v>62</v>
      </c>
      <c r="B82" s="103">
        <f>SUM(B78:B81)</f>
        <v>0.9999999999999998</v>
      </c>
      <c r="C82" s="8" t="s">
        <v>65</v>
      </c>
      <c r="E82" s="10" t="s">
        <v>62</v>
      </c>
      <c r="F82" s="103">
        <f>SUM(F78:F81)</f>
        <v>0.9999999999999999</v>
      </c>
      <c r="G82" s="8" t="s">
        <v>65</v>
      </c>
      <c r="I82" s="10" t="s">
        <v>62</v>
      </c>
      <c r="J82" s="103">
        <f>SUM(J78:J81)</f>
        <v>0.9999999999999999</v>
      </c>
      <c r="K82" s="8" t="s">
        <v>65</v>
      </c>
      <c r="L82" s="37"/>
      <c r="M82" s="37"/>
      <c r="N82" s="37"/>
      <c r="O82" s="37"/>
      <c r="P82" s="37"/>
      <c r="Q82" s="37"/>
      <c r="R82" s="37"/>
      <c r="S82" s="37"/>
      <c r="T82" s="37"/>
      <c r="U82" s="37"/>
      <c r="V82" s="37"/>
      <c r="W82" s="37"/>
      <c r="X82" s="37"/>
    </row>
    <row r="83" spans="1:24" ht="12.75">
      <c r="A83" s="10"/>
      <c r="B83" s="103"/>
      <c r="C83" s="8"/>
      <c r="E83" s="10"/>
      <c r="F83" s="103"/>
      <c r="G83" s="8"/>
      <c r="I83" s="10"/>
      <c r="J83" s="103"/>
      <c r="K83" s="8"/>
      <c r="L83" s="37"/>
      <c r="M83" s="37"/>
      <c r="N83" s="37"/>
      <c r="O83" s="37"/>
      <c r="P83" s="37"/>
      <c r="Q83" s="37"/>
      <c r="R83" s="37"/>
      <c r="S83" s="37"/>
      <c r="T83" s="37"/>
      <c r="U83" s="37"/>
      <c r="V83" s="37"/>
      <c r="W83" s="37"/>
      <c r="X83" s="37"/>
    </row>
    <row r="84" spans="1:24" ht="12.75">
      <c r="A84" s="9" t="s">
        <v>110</v>
      </c>
      <c r="B84" s="103"/>
      <c r="C84" s="8"/>
      <c r="E84" s="9" t="s">
        <v>89</v>
      </c>
      <c r="F84" s="103"/>
      <c r="G84" s="8"/>
      <c r="I84" s="9" t="s">
        <v>89</v>
      </c>
      <c r="J84" s="103"/>
      <c r="K84" s="8"/>
      <c r="L84" s="37"/>
      <c r="M84" s="37"/>
      <c r="N84" s="37"/>
      <c r="O84" s="37"/>
      <c r="P84" s="37"/>
      <c r="Q84" s="37"/>
      <c r="R84" s="37"/>
      <c r="S84" s="37"/>
      <c r="T84" s="37"/>
      <c r="U84" s="37"/>
      <c r="V84" s="37"/>
      <c r="W84" s="37"/>
      <c r="X84" s="37"/>
    </row>
    <row r="85" spans="1:24" ht="15">
      <c r="A85" s="10" t="s">
        <v>90</v>
      </c>
      <c r="B85" s="74">
        <f>B69/$B$75</f>
        <v>0.12139010074955288</v>
      </c>
      <c r="C85" s="8" t="s">
        <v>64</v>
      </c>
      <c r="E85" s="10" t="s">
        <v>90</v>
      </c>
      <c r="F85" s="74">
        <f>F69/$F$75</f>
        <v>0.12556455571497918</v>
      </c>
      <c r="G85" s="8" t="s">
        <v>64</v>
      </c>
      <c r="I85" s="10" t="s">
        <v>90</v>
      </c>
      <c r="J85" s="74">
        <f>J69/$J$75</f>
        <v>0.1528085863131113</v>
      </c>
      <c r="K85" s="8" t="s">
        <v>64</v>
      </c>
      <c r="L85" s="37"/>
      <c r="M85" s="37"/>
      <c r="N85" s="37"/>
      <c r="O85" s="37"/>
      <c r="P85" s="37"/>
      <c r="Q85" s="37"/>
      <c r="R85" s="37"/>
      <c r="S85" s="37"/>
      <c r="T85" s="37"/>
      <c r="U85" s="37"/>
      <c r="V85" s="37"/>
      <c r="W85" s="37"/>
      <c r="X85" s="37"/>
    </row>
    <row r="86" spans="1:24" ht="15">
      <c r="A86" s="10" t="s">
        <v>92</v>
      </c>
      <c r="B86" s="74">
        <f>B70/$B$75</f>
        <v>3.509134641830647E-05</v>
      </c>
      <c r="C86" s="8" t="s">
        <v>64</v>
      </c>
      <c r="E86" s="10" t="s">
        <v>92</v>
      </c>
      <c r="F86" s="74">
        <f>F70/$F$75</f>
        <v>3.629809428650061E-05</v>
      </c>
      <c r="G86" s="8" t="s">
        <v>64</v>
      </c>
      <c r="I86" s="10" t="s">
        <v>92</v>
      </c>
      <c r="J86" s="74">
        <f>J70/$J$75</f>
        <v>4.417377533171563E-05</v>
      </c>
      <c r="K86" s="8" t="s">
        <v>64</v>
      </c>
      <c r="L86" s="37"/>
      <c r="M86" s="37"/>
      <c r="N86" s="37"/>
      <c r="O86" s="37"/>
      <c r="P86" s="37"/>
      <c r="Q86" s="37"/>
      <c r="R86" s="37"/>
      <c r="S86" s="37"/>
      <c r="T86" s="37"/>
      <c r="U86" s="37"/>
      <c r="V86" s="37"/>
      <c r="W86" s="37"/>
      <c r="X86" s="37"/>
    </row>
    <row r="87" spans="1:24" ht="15">
      <c r="A87" s="10" t="s">
        <v>93</v>
      </c>
      <c r="B87" s="74">
        <f>B71/$B$75</f>
        <v>0.7391634941383519</v>
      </c>
      <c r="C87" s="8" t="s">
        <v>64</v>
      </c>
      <c r="E87" s="10" t="s">
        <v>93</v>
      </c>
      <c r="F87" s="74">
        <f>F71/$F$75</f>
        <v>0.7370138586092702</v>
      </c>
      <c r="G87" s="8" t="s">
        <v>64</v>
      </c>
      <c r="I87" s="10" t="s">
        <v>93</v>
      </c>
      <c r="J87" s="74">
        <f>J71/$J$75</f>
        <v>0.7224376069638846</v>
      </c>
      <c r="K87" s="8" t="s">
        <v>64</v>
      </c>
      <c r="L87" s="37"/>
      <c r="M87" s="37"/>
      <c r="N87" s="37"/>
      <c r="O87" s="37"/>
      <c r="P87" s="37"/>
      <c r="Q87" s="37"/>
      <c r="R87" s="37"/>
      <c r="S87" s="37"/>
      <c r="T87" s="37"/>
      <c r="U87" s="37"/>
      <c r="V87" s="37"/>
      <c r="W87" s="37"/>
      <c r="X87" s="37"/>
    </row>
    <row r="88" spans="1:24" ht="15">
      <c r="A88" s="10" t="s">
        <v>94</v>
      </c>
      <c r="B88" s="74">
        <f>B72/$B$75</f>
        <v>0.05493119273836106</v>
      </c>
      <c r="C88" s="8" t="s">
        <v>64</v>
      </c>
      <c r="E88" s="10" t="s">
        <v>94</v>
      </c>
      <c r="F88" s="74">
        <f>F57/100</f>
        <v>0.05</v>
      </c>
      <c r="G88" s="8" t="s">
        <v>64</v>
      </c>
      <c r="I88" s="10" t="s">
        <v>94</v>
      </c>
      <c r="J88" s="74">
        <f>J72/$J$75</f>
        <v>0.018364158431767842</v>
      </c>
      <c r="K88" s="8" t="s">
        <v>64</v>
      </c>
      <c r="L88" s="37"/>
      <c r="M88" s="37"/>
      <c r="N88" s="37"/>
      <c r="O88" s="37"/>
      <c r="P88" s="37"/>
      <c r="Q88" s="37"/>
      <c r="R88" s="37"/>
      <c r="S88" s="37"/>
      <c r="T88" s="37"/>
      <c r="U88" s="37"/>
      <c r="V88" s="37"/>
      <c r="W88" s="37"/>
      <c r="X88" s="37"/>
    </row>
    <row r="89" spans="1:24" ht="15">
      <c r="A89" s="10" t="s">
        <v>91</v>
      </c>
      <c r="B89" s="74">
        <f>B73/B75</f>
        <v>0.0844801210273157</v>
      </c>
      <c r="C89" s="8" t="s">
        <v>64</v>
      </c>
      <c r="E89" s="10" t="s">
        <v>91</v>
      </c>
      <c r="F89" s="74">
        <f>F73/F75</f>
        <v>0.087385287581464</v>
      </c>
      <c r="G89" s="8" t="s">
        <v>64</v>
      </c>
      <c r="I89" s="10" t="s">
        <v>91</v>
      </c>
      <c r="J89" s="74">
        <f>J73/J75</f>
        <v>0.10634547451590455</v>
      </c>
      <c r="K89" s="8" t="s">
        <v>64</v>
      </c>
      <c r="L89" s="37"/>
      <c r="M89" s="37"/>
      <c r="N89" s="37"/>
      <c r="O89" s="37"/>
      <c r="P89" s="37"/>
      <c r="Q89" s="37"/>
      <c r="R89" s="37"/>
      <c r="S89" s="37"/>
      <c r="T89" s="37"/>
      <c r="U89" s="37"/>
      <c r="V89" s="37"/>
      <c r="W89" s="37"/>
      <c r="X89" s="37"/>
    </row>
    <row r="90" spans="1:24" ht="12.75">
      <c r="A90" s="10" t="s">
        <v>62</v>
      </c>
      <c r="B90" s="103">
        <f>SUM(B85:B89)</f>
        <v>0.9999999999999999</v>
      </c>
      <c r="C90" s="8" t="s">
        <v>64</v>
      </c>
      <c r="E90" s="10" t="s">
        <v>62</v>
      </c>
      <c r="F90" s="103">
        <f>SUM(F85:F89)</f>
        <v>0.9999999999999999</v>
      </c>
      <c r="G90" s="8" t="s">
        <v>64</v>
      </c>
      <c r="I90" s="10" t="s">
        <v>62</v>
      </c>
      <c r="J90" s="103">
        <f>SUM(J85:J89)</f>
        <v>1</v>
      </c>
      <c r="K90" s="8" t="s">
        <v>64</v>
      </c>
      <c r="L90" s="37"/>
      <c r="M90" s="37"/>
      <c r="N90" s="37"/>
      <c r="O90" s="37"/>
      <c r="P90" s="37"/>
      <c r="Q90" s="37"/>
      <c r="R90" s="37"/>
      <c r="S90" s="37"/>
      <c r="T90" s="37"/>
      <c r="U90" s="37"/>
      <c r="V90" s="37"/>
      <c r="W90" s="37"/>
      <c r="X90" s="37"/>
    </row>
    <row r="91" spans="1:24" ht="12.75">
      <c r="A91" s="10"/>
      <c r="B91" s="103"/>
      <c r="C91" s="8"/>
      <c r="E91" s="10"/>
      <c r="F91" s="103"/>
      <c r="G91" s="8"/>
      <c r="I91" s="10"/>
      <c r="J91" s="103"/>
      <c r="K91" s="8"/>
      <c r="L91" s="37"/>
      <c r="M91" s="37"/>
      <c r="N91" s="37"/>
      <c r="O91" s="37"/>
      <c r="P91" s="37"/>
      <c r="Q91" s="37"/>
      <c r="R91" s="37"/>
      <c r="S91" s="37"/>
      <c r="T91" s="37"/>
      <c r="U91" s="37"/>
      <c r="V91" s="37"/>
      <c r="W91" s="37"/>
      <c r="X91" s="37"/>
    </row>
    <row r="92" spans="1:11" s="37" customFormat="1" ht="12.75">
      <c r="A92" s="9" t="s">
        <v>112</v>
      </c>
      <c r="B92" s="113"/>
      <c r="C92" s="65"/>
      <c r="E92" s="9" t="s">
        <v>112</v>
      </c>
      <c r="F92" s="113"/>
      <c r="G92" s="65"/>
      <c r="I92" s="9" t="s">
        <v>112</v>
      </c>
      <c r="J92" s="113"/>
      <c r="K92" s="65"/>
    </row>
    <row r="93" spans="1:24" ht="15">
      <c r="A93" s="10" t="s">
        <v>90</v>
      </c>
      <c r="B93" s="11">
        <f>B69*(12.01+2*16)</f>
        <v>1.8545544663197335</v>
      </c>
      <c r="C93" s="8" t="s">
        <v>105</v>
      </c>
      <c r="E93" s="10" t="s">
        <v>90</v>
      </c>
      <c r="F93" s="11">
        <f>F69*(12.01+2*16)</f>
        <v>1.8545544663197335</v>
      </c>
      <c r="G93" s="8" t="s">
        <v>105</v>
      </c>
      <c r="I93" s="10" t="s">
        <v>90</v>
      </c>
      <c r="J93" s="11">
        <f>J69*(12.01+2*16)</f>
        <v>1.8545544663197335</v>
      </c>
      <c r="K93" s="8" t="s">
        <v>105</v>
      </c>
      <c r="L93" s="37"/>
      <c r="M93" s="37"/>
      <c r="N93" s="37"/>
      <c r="O93" s="37"/>
      <c r="P93" s="37"/>
      <c r="Q93" s="37"/>
      <c r="R93" s="37"/>
      <c r="S93" s="37"/>
      <c r="T93" s="37"/>
      <c r="U93" s="37"/>
      <c r="V93" s="37"/>
      <c r="W93" s="37"/>
      <c r="X93" s="37"/>
    </row>
    <row r="94" spans="1:24" ht="15">
      <c r="A94" s="10" t="s">
        <v>92</v>
      </c>
      <c r="B94" s="11">
        <f>B70*(32.06+2*16)</f>
        <v>0.0007803544629070491</v>
      </c>
      <c r="C94" s="8" t="s">
        <v>105</v>
      </c>
      <c r="E94" s="10" t="s">
        <v>92</v>
      </c>
      <c r="F94" s="11">
        <f>F70*(32.06+2*16)</f>
        <v>0.0007803544629070491</v>
      </c>
      <c r="G94" s="8" t="s">
        <v>105</v>
      </c>
      <c r="I94" s="10" t="s">
        <v>92</v>
      </c>
      <c r="J94" s="11">
        <f>J70*(32.06+2*16)</f>
        <v>0.0007803544629070491</v>
      </c>
      <c r="K94" s="8" t="s">
        <v>105</v>
      </c>
      <c r="L94" s="37"/>
      <c r="M94" s="37"/>
      <c r="N94" s="37"/>
      <c r="O94" s="37"/>
      <c r="P94" s="37"/>
      <c r="Q94" s="37"/>
      <c r="R94" s="37"/>
      <c r="S94" s="37"/>
      <c r="T94" s="37"/>
      <c r="U94" s="37"/>
      <c r="V94" s="37"/>
      <c r="W94" s="37"/>
      <c r="X94" s="37"/>
    </row>
    <row r="95" spans="1:24" ht="15">
      <c r="A95" s="10" t="s">
        <v>93</v>
      </c>
      <c r="B95" s="11">
        <f>B71*2*14.01</f>
        <v>7.189746745916126</v>
      </c>
      <c r="C95" s="8" t="s">
        <v>105</v>
      </c>
      <c r="E95" s="10" t="s">
        <v>93</v>
      </c>
      <c r="F95" s="11">
        <f>F71*2*14.01</f>
        <v>6.930506018126907</v>
      </c>
      <c r="G95" s="8" t="s">
        <v>105</v>
      </c>
      <c r="I95" s="10" t="s">
        <v>93</v>
      </c>
      <c r="J95" s="11">
        <f>J71*2*14.01</f>
        <v>5.582245630784784</v>
      </c>
      <c r="K95" s="8" t="s">
        <v>105</v>
      </c>
      <c r="L95" s="37"/>
      <c r="M95" s="37"/>
      <c r="N95" s="37"/>
      <c r="O95" s="37"/>
      <c r="P95" s="37"/>
      <c r="Q95" s="37"/>
      <c r="R95" s="37"/>
      <c r="S95" s="37"/>
      <c r="T95" s="37"/>
      <c r="U95" s="37"/>
      <c r="V95" s="37"/>
      <c r="W95" s="37"/>
      <c r="X95" s="37"/>
    </row>
    <row r="96" spans="1:11" s="37" customFormat="1" ht="15">
      <c r="A96" s="10" t="s">
        <v>94</v>
      </c>
      <c r="B96" s="11">
        <f>B72*2*16</f>
        <v>0.6102024676767781</v>
      </c>
      <c r="C96" s="8" t="s">
        <v>105</v>
      </c>
      <c r="E96" s="10" t="s">
        <v>94</v>
      </c>
      <c r="F96" s="11">
        <f>F72*2*16</f>
        <v>0.5369590202591179</v>
      </c>
      <c r="G96" s="8" t="s">
        <v>105</v>
      </c>
      <c r="I96" s="10" t="s">
        <v>94</v>
      </c>
      <c r="J96" s="11">
        <f>J72*2*16</f>
        <v>0.16205464183486434</v>
      </c>
      <c r="K96" s="8" t="s">
        <v>105</v>
      </c>
    </row>
    <row r="97" spans="1:11" s="37" customFormat="1" ht="15">
      <c r="A97" s="10" t="s">
        <v>91</v>
      </c>
      <c r="B97" s="11">
        <f>B73*(2*1.008+16)</f>
        <v>0.5283453052380952</v>
      </c>
      <c r="C97" s="8" t="s">
        <v>105</v>
      </c>
      <c r="E97" s="10" t="s">
        <v>91</v>
      </c>
      <c r="F97" s="11">
        <f>F73*(2*1.008+16)</f>
        <v>0.5283453052380952</v>
      </c>
      <c r="G97" s="8" t="s">
        <v>105</v>
      </c>
      <c r="I97" s="10" t="s">
        <v>91</v>
      </c>
      <c r="J97" s="11">
        <f>J73*(2*1.008+16)</f>
        <v>0.5283453052380952</v>
      </c>
      <c r="K97" s="8" t="s">
        <v>105</v>
      </c>
    </row>
    <row r="98" spans="1:11" s="37" customFormat="1" ht="12.75">
      <c r="A98" s="10" t="s">
        <v>95</v>
      </c>
      <c r="B98" s="11">
        <f>SUM(B93:B96)</f>
        <v>9.655284034375544</v>
      </c>
      <c r="C98" s="8" t="s">
        <v>105</v>
      </c>
      <c r="E98" s="10" t="s">
        <v>95</v>
      </c>
      <c r="F98" s="11">
        <f>SUM(F93:F96)</f>
        <v>9.322799859168667</v>
      </c>
      <c r="G98" s="8" t="s">
        <v>105</v>
      </c>
      <c r="I98" s="10" t="s">
        <v>95</v>
      </c>
      <c r="J98" s="11">
        <f>SUM(J93:J96)</f>
        <v>7.599635093402289</v>
      </c>
      <c r="K98" s="8" t="s">
        <v>105</v>
      </c>
    </row>
    <row r="99" spans="1:11" s="37" customFormat="1" ht="12.75">
      <c r="A99" s="10" t="s">
        <v>96</v>
      </c>
      <c r="B99" s="11">
        <f>SUM(B93:B97)</f>
        <v>10.18362933961364</v>
      </c>
      <c r="C99" s="8" t="s">
        <v>105</v>
      </c>
      <c r="E99" s="10" t="s">
        <v>96</v>
      </c>
      <c r="F99" s="11">
        <f>SUM(F93:F97)</f>
        <v>9.851145164406763</v>
      </c>
      <c r="G99" s="8" t="s">
        <v>105</v>
      </c>
      <c r="I99" s="10" t="s">
        <v>96</v>
      </c>
      <c r="J99" s="11">
        <f>SUM(J93:J97)</f>
        <v>8.127980398640384</v>
      </c>
      <c r="K99" s="8" t="s">
        <v>105</v>
      </c>
    </row>
    <row r="100" spans="1:11" s="37" customFormat="1" ht="12.75">
      <c r="A100" s="115"/>
      <c r="B100" s="113"/>
      <c r="C100" s="65"/>
      <c r="E100" s="115"/>
      <c r="F100" s="113"/>
      <c r="G100" s="65"/>
      <c r="I100" s="115"/>
      <c r="J100" s="113"/>
      <c r="K100" s="65"/>
    </row>
    <row r="101" spans="1:11" s="37" customFormat="1" ht="12.75">
      <c r="A101" s="9" t="s">
        <v>113</v>
      </c>
      <c r="B101" s="113"/>
      <c r="C101" s="65"/>
      <c r="E101" s="9" t="s">
        <v>113</v>
      </c>
      <c r="F101" s="113"/>
      <c r="G101" s="65"/>
      <c r="I101" s="9" t="s">
        <v>113</v>
      </c>
      <c r="J101" s="113"/>
      <c r="K101" s="65"/>
    </row>
    <row r="102" spans="1:11" s="37" customFormat="1" ht="15">
      <c r="A102" s="10" t="s">
        <v>90</v>
      </c>
      <c r="B102" s="74">
        <f>B93/B98</f>
        <v>0.19207663489929397</v>
      </c>
      <c r="C102" s="8" t="s">
        <v>106</v>
      </c>
      <c r="E102" s="10" t="s">
        <v>90</v>
      </c>
      <c r="F102" s="74">
        <f>F93/F98</f>
        <v>0.19892677031952372</v>
      </c>
      <c r="G102" s="8" t="s">
        <v>106</v>
      </c>
      <c r="I102" s="10" t="s">
        <v>90</v>
      </c>
      <c r="J102" s="74">
        <f>J93/J98</f>
        <v>0.24403204147654228</v>
      </c>
      <c r="K102" s="8" t="s">
        <v>106</v>
      </c>
    </row>
    <row r="103" spans="1:11" s="37" customFormat="1" ht="15">
      <c r="A103" s="10" t="s">
        <v>92</v>
      </c>
      <c r="B103" s="74">
        <f>B94/B98</f>
        <v>8.082149216209139E-05</v>
      </c>
      <c r="C103" s="8" t="s">
        <v>106</v>
      </c>
      <c r="E103" s="10" t="s">
        <v>92</v>
      </c>
      <c r="F103" s="74">
        <f>F94/F98</f>
        <v>8.370387380349008E-05</v>
      </c>
      <c r="G103" s="8" t="s">
        <v>106</v>
      </c>
      <c r="I103" s="10" t="s">
        <v>92</v>
      </c>
      <c r="J103" s="74">
        <f>J94/J98</f>
        <v>0.00010268314903494813</v>
      </c>
      <c r="K103" s="8" t="s">
        <v>106</v>
      </c>
    </row>
    <row r="104" spans="1:11" s="37" customFormat="1" ht="15">
      <c r="A104" s="10" t="s">
        <v>93</v>
      </c>
      <c r="B104" s="74">
        <f>B95/B98</f>
        <v>0.7446437329361407</v>
      </c>
      <c r="C104" s="8" t="s">
        <v>106</v>
      </c>
      <c r="E104" s="10" t="s">
        <v>93</v>
      </c>
      <c r="F104" s="74">
        <f>F95/F98</f>
        <v>0.7433931997704513</v>
      </c>
      <c r="G104" s="8" t="s">
        <v>106</v>
      </c>
      <c r="I104" s="10" t="s">
        <v>93</v>
      </c>
      <c r="J104" s="74">
        <f>J95/J98</f>
        <v>0.7345412723343882</v>
      </c>
      <c r="K104" s="8" t="s">
        <v>106</v>
      </c>
    </row>
    <row r="105" spans="1:11" s="37" customFormat="1" ht="15">
      <c r="A105" s="10" t="s">
        <v>94</v>
      </c>
      <c r="B105" s="74">
        <f>B96/B98</f>
        <v>0.06319881067240328</v>
      </c>
      <c r="C105" s="8" t="s">
        <v>106</v>
      </c>
      <c r="E105" s="10" t="s">
        <v>94</v>
      </c>
      <c r="F105" s="74">
        <f>F96/F98</f>
        <v>0.057596326036221446</v>
      </c>
      <c r="G105" s="8" t="s">
        <v>106</v>
      </c>
      <c r="I105" s="10" t="s">
        <v>94</v>
      </c>
      <c r="J105" s="74">
        <f>J96/J98</f>
        <v>0.02132400304003464</v>
      </c>
      <c r="K105" s="8" t="s">
        <v>106</v>
      </c>
    </row>
    <row r="106" spans="1:11" s="37" customFormat="1" ht="12.75">
      <c r="A106" s="10" t="s">
        <v>62</v>
      </c>
      <c r="B106" s="103">
        <f>SUM(B102:B105)</f>
        <v>1</v>
      </c>
      <c r="C106" s="8" t="s">
        <v>106</v>
      </c>
      <c r="E106" s="10" t="s">
        <v>62</v>
      </c>
      <c r="F106" s="103">
        <f>SUM(F102:F105)</f>
        <v>0.9999999999999999</v>
      </c>
      <c r="G106" s="8" t="s">
        <v>106</v>
      </c>
      <c r="I106" s="10" t="s">
        <v>62</v>
      </c>
      <c r="J106" s="103">
        <f>SUM(J102:J105)</f>
        <v>1</v>
      </c>
      <c r="K106" s="8" t="s">
        <v>106</v>
      </c>
    </row>
    <row r="107" spans="1:11" s="40" customFormat="1" ht="15.75">
      <c r="A107" s="10"/>
      <c r="B107" s="114"/>
      <c r="C107" s="116"/>
      <c r="E107" s="10"/>
      <c r="F107" s="114"/>
      <c r="G107" s="116"/>
      <c r="I107" s="10"/>
      <c r="J107" s="114"/>
      <c r="K107" s="116"/>
    </row>
    <row r="108" spans="1:11" s="37" customFormat="1" ht="12.75">
      <c r="A108" s="9" t="s">
        <v>114</v>
      </c>
      <c r="B108" s="113"/>
      <c r="C108" s="65"/>
      <c r="E108" s="9" t="s">
        <v>114</v>
      </c>
      <c r="F108" s="113"/>
      <c r="G108" s="65"/>
      <c r="I108" s="9" t="s">
        <v>114</v>
      </c>
      <c r="J108" s="113"/>
      <c r="K108" s="65"/>
    </row>
    <row r="109" spans="1:20" ht="15">
      <c r="A109" s="10" t="s">
        <v>90</v>
      </c>
      <c r="B109" s="74">
        <f>B93/B99</f>
        <v>0.18211134797548456</v>
      </c>
      <c r="C109" s="8" t="s">
        <v>107</v>
      </c>
      <c r="E109" s="10" t="s">
        <v>90</v>
      </c>
      <c r="F109" s="74">
        <f>F93/F99</f>
        <v>0.18825775433910327</v>
      </c>
      <c r="G109" s="8" t="s">
        <v>107</v>
      </c>
      <c r="I109" s="10" t="s">
        <v>90</v>
      </c>
      <c r="J109" s="74">
        <f>J93/J99</f>
        <v>0.22816916077085472</v>
      </c>
      <c r="K109" s="8" t="s">
        <v>107</v>
      </c>
      <c r="L109" s="37"/>
      <c r="M109" s="37"/>
      <c r="N109" s="37"/>
      <c r="O109" s="37"/>
      <c r="P109" s="37"/>
      <c r="Q109" s="37"/>
      <c r="R109" s="37"/>
      <c r="S109" s="37"/>
      <c r="T109" s="37"/>
    </row>
    <row r="110" spans="1:20" ht="15">
      <c r="A110" s="10" t="s">
        <v>92</v>
      </c>
      <c r="B110" s="74">
        <f>B94/B99</f>
        <v>7.662832541160176E-05</v>
      </c>
      <c r="C110" s="8" t="s">
        <v>107</v>
      </c>
      <c r="E110" s="10" t="s">
        <v>92</v>
      </c>
      <c r="F110" s="74">
        <f>F94/F99</f>
        <v>7.921459382474161E-05</v>
      </c>
      <c r="G110" s="8" t="s">
        <v>107</v>
      </c>
      <c r="I110" s="10" t="s">
        <v>92</v>
      </c>
      <c r="J110" s="74">
        <f>J94/J99</f>
        <v>9.600840856328636E-05</v>
      </c>
      <c r="K110" s="8" t="s">
        <v>107</v>
      </c>
      <c r="L110" s="37"/>
      <c r="M110" s="37"/>
      <c r="N110" s="37"/>
      <c r="O110" s="37"/>
      <c r="P110" s="37"/>
      <c r="Q110" s="37"/>
      <c r="R110" s="37"/>
      <c r="S110" s="37"/>
      <c r="T110" s="37"/>
    </row>
    <row r="111" spans="1:11" s="37" customFormat="1" ht="15">
      <c r="A111" s="10" t="s">
        <v>93</v>
      </c>
      <c r="B111" s="74">
        <f>B95/B99</f>
        <v>0.7060102549047509</v>
      </c>
      <c r="C111" s="8" t="s">
        <v>107</v>
      </c>
      <c r="E111" s="10" t="s">
        <v>93</v>
      </c>
      <c r="F111" s="74">
        <f>F95/F99</f>
        <v>0.7035228800776954</v>
      </c>
      <c r="G111" s="8" t="s">
        <v>107</v>
      </c>
      <c r="I111" s="10" t="s">
        <v>93</v>
      </c>
      <c r="J111" s="74">
        <f>J95/J99</f>
        <v>0.6867936876076325</v>
      </c>
      <c r="K111" s="8" t="s">
        <v>107</v>
      </c>
    </row>
    <row r="112" spans="1:11" s="37" customFormat="1" ht="15">
      <c r="A112" s="10" t="s">
        <v>94</v>
      </c>
      <c r="B112" s="74">
        <f>B96/B99</f>
        <v>0.05991994085086455</v>
      </c>
      <c r="C112" s="8" t="s">
        <v>107</v>
      </c>
      <c r="E112" s="10" t="s">
        <v>94</v>
      </c>
      <c r="F112" s="74">
        <f>F96/F99</f>
        <v>0.05450726908372116</v>
      </c>
      <c r="G112" s="8" t="s">
        <v>107</v>
      </c>
      <c r="I112" s="10" t="s">
        <v>94</v>
      </c>
      <c r="J112" s="74">
        <f>J96/J99</f>
        <v>0.01993787311076343</v>
      </c>
      <c r="K112" s="8" t="s">
        <v>107</v>
      </c>
    </row>
    <row r="113" spans="1:47" ht="15">
      <c r="A113" s="10" t="s">
        <v>91</v>
      </c>
      <c r="B113" s="74">
        <f>B97/B99</f>
        <v>0.05188182794348839</v>
      </c>
      <c r="C113" s="8" t="s">
        <v>107</v>
      </c>
      <c r="E113" s="10" t="s">
        <v>91</v>
      </c>
      <c r="F113" s="74">
        <f>F97/F99</f>
        <v>0.0536328819056553</v>
      </c>
      <c r="G113" s="8" t="s">
        <v>107</v>
      </c>
      <c r="I113" s="10" t="s">
        <v>91</v>
      </c>
      <c r="J113" s="74">
        <f>J97/J99</f>
        <v>0.06500327010218611</v>
      </c>
      <c r="K113" s="8" t="s">
        <v>107</v>
      </c>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row>
    <row r="114" spans="1:47" ht="12.75">
      <c r="A114" s="12" t="s">
        <v>62</v>
      </c>
      <c r="B114" s="104">
        <f>SUM(B109:B113)</f>
        <v>1</v>
      </c>
      <c r="C114" s="13" t="s">
        <v>107</v>
      </c>
      <c r="E114" s="12" t="s">
        <v>62</v>
      </c>
      <c r="F114" s="104">
        <f>SUM(F109:F113)</f>
        <v>0.9999999999999998</v>
      </c>
      <c r="G114" s="13" t="s">
        <v>107</v>
      </c>
      <c r="I114" s="12" t="s">
        <v>62</v>
      </c>
      <c r="J114" s="104">
        <f>SUM(J109:J113)</f>
        <v>1</v>
      </c>
      <c r="K114" s="13" t="s">
        <v>107</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row>
    <row r="115" s="37" customFormat="1" ht="12.75"/>
    <row r="116" s="37" customFormat="1" ht="12.75"/>
    <row r="117" s="37" customFormat="1" ht="15.75">
      <c r="A117" s="128" t="s">
        <v>214</v>
      </c>
    </row>
    <row r="118" s="37" customFormat="1" ht="15.75">
      <c r="A118" s="128"/>
    </row>
    <row r="119" spans="1:11" s="37" customFormat="1" ht="15.75">
      <c r="A119" s="49" t="s">
        <v>434</v>
      </c>
      <c r="B119" s="107"/>
      <c r="C119" s="49"/>
      <c r="D119" s="40"/>
      <c r="E119" s="49"/>
      <c r="F119" s="107"/>
      <c r="G119" s="49"/>
      <c r="H119" s="40"/>
      <c r="I119" s="49"/>
      <c r="J119" s="107"/>
      <c r="K119" s="49"/>
    </row>
    <row r="120" spans="1:2" s="37" customFormat="1" ht="12.75">
      <c r="A120" s="35"/>
      <c r="B120" s="102"/>
    </row>
    <row r="121" spans="1:3" s="37" customFormat="1" ht="15">
      <c r="A121" s="14" t="s">
        <v>13</v>
      </c>
      <c r="B121" s="15"/>
      <c r="C121" s="16"/>
    </row>
    <row r="122" spans="1:3" s="37" customFormat="1" ht="15">
      <c r="A122" s="17"/>
      <c r="B122" s="18"/>
      <c r="C122" s="19"/>
    </row>
    <row r="123" spans="1:3" s="37" customFormat="1" ht="12.75">
      <c r="A123" s="23" t="s">
        <v>9</v>
      </c>
      <c r="B123" s="170">
        <v>90</v>
      </c>
      <c r="C123" s="25" t="s">
        <v>21</v>
      </c>
    </row>
    <row r="124" s="37" customFormat="1" ht="12.75"/>
    <row r="125" s="37" customFormat="1" ht="12.75"/>
    <row r="126" spans="1:8" s="37" customFormat="1" ht="15.75">
      <c r="A126" s="77" t="s">
        <v>302</v>
      </c>
      <c r="B126" s="125"/>
      <c r="C126" s="125"/>
      <c r="D126" s="125"/>
      <c r="E126" s="125"/>
      <c r="F126" s="125"/>
      <c r="G126" s="125"/>
      <c r="H126" s="125"/>
    </row>
    <row r="127" s="37" customFormat="1" ht="12.75">
      <c r="A127" s="125"/>
    </row>
    <row r="128" spans="1:11" s="37" customFormat="1" ht="15">
      <c r="A128" s="194" t="s">
        <v>152</v>
      </c>
      <c r="B128" s="195"/>
      <c r="C128" s="215"/>
      <c r="E128" s="194" t="s">
        <v>152</v>
      </c>
      <c r="F128" s="195"/>
      <c r="G128" s="215"/>
      <c r="I128" s="194" t="s">
        <v>152</v>
      </c>
      <c r="J128" s="195"/>
      <c r="K128" s="215"/>
    </row>
    <row r="129" spans="1:11" s="37" customFormat="1" ht="15">
      <c r="A129" s="214"/>
      <c r="B129" s="199"/>
      <c r="C129" s="211"/>
      <c r="E129" s="214"/>
      <c r="F129" s="199"/>
      <c r="G129" s="211"/>
      <c r="I129" s="214"/>
      <c r="J129" s="199"/>
      <c r="K129" s="211"/>
    </row>
    <row r="130" spans="1:11" s="37" customFormat="1" ht="15">
      <c r="A130" s="208" t="s">
        <v>97</v>
      </c>
      <c r="B130" s="216">
        <f>B57</f>
        <v>6</v>
      </c>
      <c r="C130" s="213" t="s">
        <v>22</v>
      </c>
      <c r="E130" s="208" t="s">
        <v>115</v>
      </c>
      <c r="F130" s="217">
        <f>F57</f>
        <v>5</v>
      </c>
      <c r="G130" s="213" t="s">
        <v>22</v>
      </c>
      <c r="I130" s="208" t="s">
        <v>10</v>
      </c>
      <c r="J130" s="218">
        <f>J57</f>
        <v>1.12</v>
      </c>
      <c r="K130" s="213" t="s">
        <v>23</v>
      </c>
    </row>
    <row r="131" s="37" customFormat="1" ht="12.75"/>
    <row r="132" spans="1:11" s="37" customFormat="1" ht="15">
      <c r="A132" s="3" t="s">
        <v>6</v>
      </c>
      <c r="B132" s="72"/>
      <c r="C132" s="5"/>
      <c r="E132" s="3" t="s">
        <v>6</v>
      </c>
      <c r="F132" s="72"/>
      <c r="G132" s="5"/>
      <c r="I132" s="3" t="s">
        <v>6</v>
      </c>
      <c r="J132" s="72"/>
      <c r="K132" s="5"/>
    </row>
    <row r="133" spans="1:11" s="37" customFormat="1" ht="15">
      <c r="A133" s="119"/>
      <c r="B133" s="113"/>
      <c r="C133" s="8"/>
      <c r="E133" s="119"/>
      <c r="F133" s="113"/>
      <c r="G133" s="8"/>
      <c r="I133" s="119"/>
      <c r="J133" s="113"/>
      <c r="K133" s="8"/>
    </row>
    <row r="134" spans="1:11" s="37" customFormat="1" ht="12.75">
      <c r="A134" s="9" t="s">
        <v>120</v>
      </c>
      <c r="B134" s="11"/>
      <c r="C134" s="8"/>
      <c r="E134" s="9" t="s">
        <v>120</v>
      </c>
      <c r="F134" s="11"/>
      <c r="G134" s="8"/>
      <c r="I134" s="9" t="s">
        <v>120</v>
      </c>
      <c r="J134" s="11"/>
      <c r="K134" s="8"/>
    </row>
    <row r="135" spans="1:11" s="37" customFormat="1" ht="15">
      <c r="A135" s="10" t="s">
        <v>61</v>
      </c>
      <c r="B135" s="105">
        <f>B62*B123*1000</f>
        <v>655907.7986821693</v>
      </c>
      <c r="C135" s="8" t="s">
        <v>99</v>
      </c>
      <c r="E135" s="10" t="s">
        <v>61</v>
      </c>
      <c r="F135" s="105">
        <f>F62*B123*1000</f>
        <v>632257.7285055565</v>
      </c>
      <c r="G135" s="8" t="s">
        <v>99</v>
      </c>
      <c r="I135" s="10" t="s">
        <v>61</v>
      </c>
      <c r="J135" s="105">
        <f>J62*B123*1000</f>
        <v>509258.3331215319</v>
      </c>
      <c r="K135" s="8" t="s">
        <v>99</v>
      </c>
    </row>
    <row r="136" spans="1:11" s="37" customFormat="1" ht="15">
      <c r="A136" s="10" t="s">
        <v>24</v>
      </c>
      <c r="B136" s="105">
        <f>B63*B123*1000</f>
        <v>645083.7766148055</v>
      </c>
      <c r="C136" s="8" t="s">
        <v>99</v>
      </c>
      <c r="E136" s="10" t="s">
        <v>24</v>
      </c>
      <c r="F136" s="105">
        <f>F63*B123*1000</f>
        <v>621433.7064381925</v>
      </c>
      <c r="G136" s="8" t="s">
        <v>99</v>
      </c>
      <c r="I136" s="10" t="s">
        <v>24</v>
      </c>
      <c r="J136" s="105">
        <f>J63*B123*1000</f>
        <v>557595.538822168</v>
      </c>
      <c r="K136" s="8" t="s">
        <v>99</v>
      </c>
    </row>
    <row r="137" spans="1:11" s="37" customFormat="1" ht="15">
      <c r="A137" s="10" t="s">
        <v>25</v>
      </c>
      <c r="B137" s="105">
        <f>B64*B123*1000</f>
        <v>704245.0043828053</v>
      </c>
      <c r="C137" s="8" t="s">
        <v>99</v>
      </c>
      <c r="E137" s="10" t="s">
        <v>25</v>
      </c>
      <c r="F137" s="105">
        <f>F64*B123*1000</f>
        <v>680594.9342061925</v>
      </c>
      <c r="G137" s="8" t="s">
        <v>99</v>
      </c>
      <c r="I137" s="10" t="s">
        <v>25</v>
      </c>
      <c r="J137" s="105">
        <f>J64*B123*1000</f>
        <v>557595.538822168</v>
      </c>
      <c r="K137" s="8" t="s">
        <v>99</v>
      </c>
    </row>
    <row r="138" spans="1:11" s="37" customFormat="1" ht="12.75">
      <c r="A138" s="9" t="s">
        <v>121</v>
      </c>
      <c r="B138" s="105"/>
      <c r="C138" s="8"/>
      <c r="E138" s="9" t="s">
        <v>121</v>
      </c>
      <c r="F138" s="105"/>
      <c r="G138" s="8"/>
      <c r="I138" s="9" t="s">
        <v>121</v>
      </c>
      <c r="J138" s="105"/>
      <c r="K138" s="8"/>
    </row>
    <row r="139" spans="1:11" s="37" customFormat="1" ht="12.75">
      <c r="A139" s="10" t="s">
        <v>61</v>
      </c>
      <c r="B139" s="105">
        <f>B62*101325/(8.3145*273.15)*(0.209*16*2+0.791*14.01*2)*B123</f>
        <v>844297.063204005</v>
      </c>
      <c r="C139" s="8" t="s">
        <v>119</v>
      </c>
      <c r="E139" s="10" t="s">
        <v>61</v>
      </c>
      <c r="F139" s="105">
        <f>F62*101325/(8.3145*273.15)*(0.209*16*2+0.791*14.01*2)*B123</f>
        <v>813854.2405469161</v>
      </c>
      <c r="G139" s="8" t="s">
        <v>119</v>
      </c>
      <c r="I139" s="10" t="s">
        <v>61</v>
      </c>
      <c r="J139" s="105">
        <f>J62*101325/(8.3145*273.15)*(0.209*16*2+0.791*14.01*2)*B123</f>
        <v>655527.0663507127</v>
      </c>
      <c r="K139" s="8" t="s">
        <v>119</v>
      </c>
    </row>
    <row r="140" spans="1:11" s="37" customFormat="1" ht="12.75">
      <c r="A140" s="10" t="s">
        <v>24</v>
      </c>
      <c r="B140" s="105">
        <f>B98*B123*1000</f>
        <v>868975.563093799</v>
      </c>
      <c r="C140" s="8" t="s">
        <v>119</v>
      </c>
      <c r="E140" s="10" t="s">
        <v>24</v>
      </c>
      <c r="F140" s="105">
        <f>F98*B123*1000</f>
        <v>839051.98732518</v>
      </c>
      <c r="G140" s="8" t="s">
        <v>119</v>
      </c>
      <c r="I140" s="10" t="s">
        <v>24</v>
      </c>
      <c r="J140" s="105">
        <f>J98*B123*1000</f>
        <v>683967.1584062059</v>
      </c>
      <c r="K140" s="8" t="s">
        <v>119</v>
      </c>
    </row>
    <row r="141" spans="1:11" s="37" customFormat="1" ht="12.75">
      <c r="A141" s="12" t="s">
        <v>25</v>
      </c>
      <c r="B141" s="106">
        <f>B99*B123*1000</f>
        <v>916526.6405652276</v>
      </c>
      <c r="C141" s="13" t="s">
        <v>119</v>
      </c>
      <c r="E141" s="12" t="s">
        <v>25</v>
      </c>
      <c r="F141" s="106">
        <f>F99*B123*1000</f>
        <v>886603.0647966086</v>
      </c>
      <c r="G141" s="13" t="s">
        <v>119</v>
      </c>
      <c r="I141" s="12" t="s">
        <v>25</v>
      </c>
      <c r="J141" s="106">
        <f>J99*B123*1000</f>
        <v>731518.2358776345</v>
      </c>
      <c r="K141" s="13" t="s">
        <v>119</v>
      </c>
    </row>
    <row r="142" s="37" customFormat="1" ht="12.75"/>
    <row r="143" s="37" customFormat="1" ht="12.75"/>
    <row r="144" s="37" customFormat="1" ht="15.75">
      <c r="A144" s="128" t="s">
        <v>215</v>
      </c>
    </row>
    <row r="145" s="37" customFormat="1" ht="12.75"/>
    <row r="146" s="37" customFormat="1" ht="15.75">
      <c r="A146" s="40" t="s">
        <v>199</v>
      </c>
    </row>
    <row r="147" s="37" customFormat="1" ht="15.75">
      <c r="A147" s="40"/>
    </row>
    <row r="148" spans="1:47" s="37" customFormat="1" ht="15">
      <c r="A148" s="14" t="s">
        <v>13</v>
      </c>
      <c r="B148" s="15"/>
      <c r="C148" s="16"/>
      <c r="AB148"/>
      <c r="AC148"/>
      <c r="AD148"/>
      <c r="AE148"/>
      <c r="AF148"/>
      <c r="AG148"/>
      <c r="AH148"/>
      <c r="AI148"/>
      <c r="AJ148"/>
      <c r="AK148"/>
      <c r="AL148"/>
      <c r="AM148"/>
      <c r="AN148"/>
      <c r="AO148"/>
      <c r="AP148"/>
      <c r="AQ148"/>
      <c r="AR148"/>
      <c r="AS148"/>
      <c r="AT148"/>
      <c r="AU148"/>
    </row>
    <row r="149" spans="1:27" ht="12.75">
      <c r="A149" s="31"/>
      <c r="B149" s="21"/>
      <c r="C149" s="22"/>
      <c r="E149" s="37"/>
      <c r="F149" s="37"/>
      <c r="G149" s="37"/>
      <c r="I149" s="37"/>
      <c r="J149" s="37"/>
      <c r="K149" s="37"/>
      <c r="L149" s="37"/>
      <c r="M149" s="37"/>
      <c r="N149" s="37"/>
      <c r="O149" s="37"/>
      <c r="P149" s="37"/>
      <c r="Q149" s="37"/>
      <c r="R149" s="37"/>
      <c r="S149" s="37"/>
      <c r="T149" s="37"/>
      <c r="U149" s="37"/>
      <c r="V149" s="37"/>
      <c r="W149" s="37"/>
      <c r="X149" s="37"/>
      <c r="Y149" s="37"/>
      <c r="Z149" s="37"/>
      <c r="AA149" s="37"/>
    </row>
    <row r="150" spans="1:27" ht="12.75">
      <c r="A150" s="23" t="s">
        <v>124</v>
      </c>
      <c r="B150" s="136">
        <v>9.5</v>
      </c>
      <c r="C150" s="25" t="s">
        <v>164</v>
      </c>
      <c r="E150" s="37"/>
      <c r="F150" s="37"/>
      <c r="G150" s="37"/>
      <c r="I150" s="37"/>
      <c r="J150" s="37"/>
      <c r="K150" s="37"/>
      <c r="L150" s="37"/>
      <c r="M150" s="37"/>
      <c r="N150" s="37"/>
      <c r="O150" s="37"/>
      <c r="P150" s="37"/>
      <c r="Q150" s="37"/>
      <c r="R150" s="37"/>
      <c r="S150" s="37"/>
      <c r="T150" s="37"/>
      <c r="U150" s="37"/>
      <c r="V150" s="37"/>
      <c r="W150" s="37"/>
      <c r="X150" s="37"/>
      <c r="Y150" s="37"/>
      <c r="Z150" s="37"/>
      <c r="AA150" s="37"/>
    </row>
    <row r="151" spans="1:3" s="37" customFormat="1" ht="12.75">
      <c r="A151" s="35"/>
      <c r="B151" s="35"/>
      <c r="C151" s="35"/>
    </row>
    <row r="152" s="37" customFormat="1" ht="15.75">
      <c r="A152" s="77" t="s">
        <v>302</v>
      </c>
    </row>
    <row r="153" s="37" customFormat="1" ht="12.75">
      <c r="A153" s="125"/>
    </row>
    <row r="154" spans="1:11" s="37" customFormat="1" ht="15">
      <c r="A154" s="194" t="s">
        <v>152</v>
      </c>
      <c r="B154" s="195"/>
      <c r="C154" s="215"/>
      <c r="E154" s="194" t="s">
        <v>152</v>
      </c>
      <c r="F154" s="195"/>
      <c r="G154" s="215"/>
      <c r="I154" s="194" t="s">
        <v>152</v>
      </c>
      <c r="J154" s="195"/>
      <c r="K154" s="215"/>
    </row>
    <row r="155" spans="1:11" s="37" customFormat="1" ht="15">
      <c r="A155" s="214"/>
      <c r="B155" s="199"/>
      <c r="C155" s="211"/>
      <c r="E155" s="214"/>
      <c r="F155" s="199"/>
      <c r="G155" s="211"/>
      <c r="I155" s="214"/>
      <c r="J155" s="199"/>
      <c r="K155" s="211"/>
    </row>
    <row r="156" spans="1:11" s="37" customFormat="1" ht="15">
      <c r="A156" s="208" t="s">
        <v>97</v>
      </c>
      <c r="B156" s="216">
        <f>B57</f>
        <v>6</v>
      </c>
      <c r="C156" s="213" t="s">
        <v>22</v>
      </c>
      <c r="E156" s="208" t="s">
        <v>115</v>
      </c>
      <c r="F156" s="217">
        <f>F57</f>
        <v>5</v>
      </c>
      <c r="G156" s="213" t="s">
        <v>22</v>
      </c>
      <c r="I156" s="208" t="s">
        <v>10</v>
      </c>
      <c r="J156" s="218">
        <f>J57</f>
        <v>1.12</v>
      </c>
      <c r="K156" s="213" t="s">
        <v>23</v>
      </c>
    </row>
    <row r="157" spans="1:3" s="37" customFormat="1" ht="12.75">
      <c r="A157" s="35"/>
      <c r="B157" s="35"/>
      <c r="C157" s="35"/>
    </row>
    <row r="158" spans="1:27" ht="15">
      <c r="A158" s="3" t="s">
        <v>6</v>
      </c>
      <c r="B158" s="72"/>
      <c r="C158" s="5"/>
      <c r="E158" s="3" t="s">
        <v>6</v>
      </c>
      <c r="F158" s="72"/>
      <c r="G158" s="5"/>
      <c r="I158" s="3" t="s">
        <v>6</v>
      </c>
      <c r="J158" s="72"/>
      <c r="K158" s="5"/>
      <c r="L158" s="37"/>
      <c r="M158" s="37"/>
      <c r="N158" s="37"/>
      <c r="O158" s="37"/>
      <c r="P158" s="37"/>
      <c r="Q158" s="37"/>
      <c r="R158" s="37"/>
      <c r="S158" s="37"/>
      <c r="T158" s="37"/>
      <c r="U158" s="37"/>
      <c r="V158" s="37"/>
      <c r="W158" s="37"/>
      <c r="X158" s="37"/>
      <c r="Y158" s="37"/>
      <c r="Z158" s="37"/>
      <c r="AA158" s="37"/>
    </row>
    <row r="159" spans="1:27" ht="12.75">
      <c r="A159" s="10"/>
      <c r="B159" s="117"/>
      <c r="C159" s="8"/>
      <c r="E159" s="10"/>
      <c r="F159" s="117"/>
      <c r="G159" s="8"/>
      <c r="I159" s="10"/>
      <c r="J159" s="117"/>
      <c r="K159" s="8"/>
      <c r="L159" s="37"/>
      <c r="M159" s="37"/>
      <c r="N159" s="37"/>
      <c r="O159" s="37"/>
      <c r="P159" s="37"/>
      <c r="Q159" s="37"/>
      <c r="R159" s="37"/>
      <c r="S159" s="37"/>
      <c r="T159" s="37"/>
      <c r="U159" s="37"/>
      <c r="V159" s="37"/>
      <c r="W159" s="37"/>
      <c r="X159" s="37"/>
      <c r="Y159" s="37"/>
      <c r="Z159" s="37"/>
      <c r="AA159" s="37"/>
    </row>
    <row r="160" spans="1:27" ht="12.75">
      <c r="A160" s="12" t="s">
        <v>307</v>
      </c>
      <c r="B160" s="118">
        <f>gast(B150*1000/B99,B109,B113)</f>
        <v>819.3465125891644</v>
      </c>
      <c r="C160" s="13" t="s">
        <v>117</v>
      </c>
      <c r="E160" s="12" t="s">
        <v>307</v>
      </c>
      <c r="F160" s="118">
        <f>gast(B150*1000/F99,F109,F113)</f>
        <v>843.0565578682304</v>
      </c>
      <c r="G160" s="13" t="s">
        <v>117</v>
      </c>
      <c r="I160" s="12" t="s">
        <v>308</v>
      </c>
      <c r="J160" s="118">
        <f>gast(B150*1000/J99,J109,J113)</f>
        <v>992.1836581468842</v>
      </c>
      <c r="K160" s="13" t="s">
        <v>117</v>
      </c>
      <c r="L160" s="37"/>
      <c r="M160" s="37"/>
      <c r="N160" s="37"/>
      <c r="O160" s="37"/>
      <c r="P160" s="37"/>
      <c r="Q160" s="37"/>
      <c r="R160" s="37"/>
      <c r="S160" s="37"/>
      <c r="T160" s="37"/>
      <c r="U160" s="37"/>
      <c r="V160" s="37"/>
      <c r="W160" s="37"/>
      <c r="X160" s="37"/>
      <c r="Y160" s="37"/>
      <c r="Z160" s="37"/>
      <c r="AA160" s="37"/>
    </row>
    <row r="161" spans="1:27" ht="12.75">
      <c r="A161" s="37"/>
      <c r="C161" s="37"/>
      <c r="E161" s="37"/>
      <c r="F161" s="37"/>
      <c r="G161" s="37"/>
      <c r="I161" s="37"/>
      <c r="J161" s="37"/>
      <c r="K161" s="37"/>
      <c r="L161" s="37"/>
      <c r="M161" s="37"/>
      <c r="N161" s="37"/>
      <c r="O161" s="37"/>
      <c r="P161" s="37"/>
      <c r="Q161" s="37"/>
      <c r="R161" s="37"/>
      <c r="S161" s="37"/>
      <c r="T161" s="37"/>
      <c r="U161" s="37"/>
      <c r="V161" s="37"/>
      <c r="W161" s="37"/>
      <c r="X161" s="37"/>
      <c r="Y161" s="37"/>
      <c r="Z161" s="37"/>
      <c r="AA161" s="37"/>
    </row>
    <row r="162" spans="1:27" ht="12.75">
      <c r="A162" s="125" t="s">
        <v>399</v>
      </c>
      <c r="B162" s="37"/>
      <c r="C162" s="37"/>
      <c r="E162" s="37"/>
      <c r="F162" s="37"/>
      <c r="G162" s="37"/>
      <c r="I162" s="37"/>
      <c r="J162" s="37"/>
      <c r="K162" s="37"/>
      <c r="L162" s="37"/>
      <c r="M162" s="37"/>
      <c r="N162" s="37"/>
      <c r="O162" s="37"/>
      <c r="P162" s="37"/>
      <c r="Q162" s="37"/>
      <c r="R162" s="37"/>
      <c r="S162" s="37"/>
      <c r="T162" s="37"/>
      <c r="U162" s="37"/>
      <c r="V162" s="37"/>
      <c r="W162" s="37"/>
      <c r="X162" s="37"/>
      <c r="Y162" s="37"/>
      <c r="Z162" s="37"/>
      <c r="AA162" s="37"/>
    </row>
    <row r="163" spans="1:27" ht="13.5" customHeight="1">
      <c r="A163" s="37" t="s">
        <v>400</v>
      </c>
      <c r="B163" s="37"/>
      <c r="C163" s="37"/>
      <c r="E163" s="37"/>
      <c r="F163" s="37"/>
      <c r="G163" s="37"/>
      <c r="I163" s="37"/>
      <c r="J163" s="37"/>
      <c r="K163" s="37"/>
      <c r="L163" s="37"/>
      <c r="M163" s="37"/>
      <c r="N163" s="37"/>
      <c r="O163" s="37"/>
      <c r="P163" s="37"/>
      <c r="Q163" s="37"/>
      <c r="R163" s="37"/>
      <c r="S163" s="37"/>
      <c r="T163" s="37"/>
      <c r="U163" s="37"/>
      <c r="V163" s="37"/>
      <c r="W163" s="37"/>
      <c r="X163" s="37"/>
      <c r="Y163" s="37"/>
      <c r="Z163" s="37"/>
      <c r="AA163" s="37"/>
    </row>
    <row r="164" spans="1:25" ht="12.75">
      <c r="A164" s="37"/>
      <c r="B164" s="37"/>
      <c r="C164" s="37"/>
      <c r="E164" s="37"/>
      <c r="F164" s="37"/>
      <c r="G164" s="37"/>
      <c r="I164" s="37"/>
      <c r="J164" s="37"/>
      <c r="K164" s="37"/>
      <c r="L164" s="37"/>
      <c r="M164" s="37"/>
      <c r="N164" s="37"/>
      <c r="O164" s="37"/>
      <c r="P164" s="37"/>
      <c r="Q164" s="37"/>
      <c r="R164" s="37"/>
      <c r="S164" s="37"/>
      <c r="T164" s="37"/>
      <c r="U164" s="37"/>
      <c r="V164" s="37"/>
      <c r="W164" s="37"/>
      <c r="X164" s="37"/>
      <c r="Y164" s="37"/>
    </row>
    <row r="165" spans="1:25" ht="12.75">
      <c r="A165" s="37"/>
      <c r="B165" s="37"/>
      <c r="C165" s="37"/>
      <c r="E165" s="37"/>
      <c r="F165" s="37"/>
      <c r="G165" s="37"/>
      <c r="I165" s="37"/>
      <c r="J165" s="37"/>
      <c r="K165" s="37"/>
      <c r="L165" s="37"/>
      <c r="M165" s="37"/>
      <c r="N165" s="37"/>
      <c r="O165" s="37"/>
      <c r="P165" s="37"/>
      <c r="Q165" s="37"/>
      <c r="R165" s="37"/>
      <c r="S165" s="37"/>
      <c r="T165" s="37"/>
      <c r="U165" s="37"/>
      <c r="V165" s="37"/>
      <c r="W165" s="37"/>
      <c r="X165" s="37"/>
      <c r="Y165" s="37"/>
    </row>
    <row r="166" spans="1:25" ht="12.75">
      <c r="A166" s="37"/>
      <c r="B166" s="37"/>
      <c r="C166" s="37"/>
      <c r="E166" s="37"/>
      <c r="F166" s="37"/>
      <c r="G166" s="37"/>
      <c r="I166" s="37"/>
      <c r="J166" s="37"/>
      <c r="K166" s="37"/>
      <c r="L166" s="37"/>
      <c r="M166" s="37"/>
      <c r="N166" s="37"/>
      <c r="O166" s="37"/>
      <c r="P166" s="37"/>
      <c r="Q166" s="37"/>
      <c r="R166" s="37"/>
      <c r="S166" s="37"/>
      <c r="T166" s="37"/>
      <c r="U166" s="37"/>
      <c r="V166" s="37"/>
      <c r="W166" s="37"/>
      <c r="X166" s="37"/>
      <c r="Y166" s="37"/>
    </row>
    <row r="167" spans="1:25" ht="12.75">
      <c r="A167" s="37"/>
      <c r="B167" s="37"/>
      <c r="C167" s="37"/>
      <c r="E167" s="37"/>
      <c r="F167" s="37"/>
      <c r="G167" s="37"/>
      <c r="I167" s="37"/>
      <c r="J167" s="37"/>
      <c r="K167" s="37"/>
      <c r="L167" s="37"/>
      <c r="M167" s="37"/>
      <c r="N167" s="37"/>
      <c r="O167" s="37"/>
      <c r="P167" s="37"/>
      <c r="Q167" s="37"/>
      <c r="R167" s="37"/>
      <c r="S167" s="37"/>
      <c r="T167" s="37"/>
      <c r="U167" s="37"/>
      <c r="V167" s="37"/>
      <c r="W167" s="37"/>
      <c r="X167" s="37"/>
      <c r="Y167" s="37"/>
    </row>
    <row r="168" spans="1:25" ht="12.75">
      <c r="A168" s="37"/>
      <c r="B168" s="37"/>
      <c r="C168" s="37"/>
      <c r="E168" s="37"/>
      <c r="F168" s="37"/>
      <c r="G168" s="37"/>
      <c r="I168" s="37"/>
      <c r="J168" s="37"/>
      <c r="K168" s="37"/>
      <c r="L168" s="37"/>
      <c r="M168" s="37"/>
      <c r="N168" s="37"/>
      <c r="O168" s="37"/>
      <c r="P168" s="37"/>
      <c r="Q168" s="37"/>
      <c r="R168" s="37"/>
      <c r="S168" s="37"/>
      <c r="T168" s="37"/>
      <c r="U168" s="37"/>
      <c r="V168" s="37"/>
      <c r="W168" s="37"/>
      <c r="X168" s="37"/>
      <c r="Y168" s="37"/>
    </row>
    <row r="169" spans="1:25" ht="12.75">
      <c r="A169" s="37"/>
      <c r="B169" s="37"/>
      <c r="C169" s="37"/>
      <c r="E169" s="37"/>
      <c r="F169" s="37"/>
      <c r="G169" s="37"/>
      <c r="I169" s="37"/>
      <c r="J169" s="37"/>
      <c r="K169" s="37"/>
      <c r="L169" s="37"/>
      <c r="M169" s="37"/>
      <c r="N169" s="37"/>
      <c r="O169" s="37"/>
      <c r="P169" s="37"/>
      <c r="Q169" s="37"/>
      <c r="R169" s="37"/>
      <c r="S169" s="37"/>
      <c r="T169" s="37"/>
      <c r="U169" s="37"/>
      <c r="V169" s="37"/>
      <c r="W169" s="37"/>
      <c r="X169" s="37"/>
      <c r="Y169" s="37"/>
    </row>
    <row r="170" spans="1:25" ht="12.75">
      <c r="A170" s="37"/>
      <c r="B170" s="37"/>
      <c r="C170" s="37"/>
      <c r="E170" s="37"/>
      <c r="F170" s="37"/>
      <c r="G170" s="37"/>
      <c r="I170" s="37"/>
      <c r="J170" s="37"/>
      <c r="K170" s="37"/>
      <c r="L170" s="37"/>
      <c r="M170" s="37"/>
      <c r="N170" s="37"/>
      <c r="O170" s="37"/>
      <c r="P170" s="37"/>
      <c r="Q170" s="37"/>
      <c r="R170" s="37"/>
      <c r="S170" s="37"/>
      <c r="T170" s="37"/>
      <c r="U170" s="37"/>
      <c r="V170" s="37"/>
      <c r="W170" s="37"/>
      <c r="X170" s="37"/>
      <c r="Y170" s="37"/>
    </row>
    <row r="171" spans="1:25" ht="12.75">
      <c r="A171" s="37"/>
      <c r="B171" s="37"/>
      <c r="C171" s="37"/>
      <c r="E171" s="37"/>
      <c r="F171" s="37"/>
      <c r="G171" s="37"/>
      <c r="I171" s="37"/>
      <c r="J171" s="37"/>
      <c r="K171" s="37"/>
      <c r="L171" s="37"/>
      <c r="M171" s="37"/>
      <c r="N171" s="37"/>
      <c r="O171" s="37"/>
      <c r="P171" s="37"/>
      <c r="Q171" s="37"/>
      <c r="R171" s="37"/>
      <c r="S171" s="37"/>
      <c r="T171" s="37"/>
      <c r="U171" s="37"/>
      <c r="V171" s="37"/>
      <c r="W171" s="37"/>
      <c r="X171" s="37"/>
      <c r="Y171" s="37"/>
    </row>
    <row r="172" spans="1:25" ht="12.75">
      <c r="A172" s="37"/>
      <c r="B172" s="37"/>
      <c r="C172" s="37"/>
      <c r="E172" s="37"/>
      <c r="F172" s="37"/>
      <c r="G172" s="37"/>
      <c r="I172" s="37"/>
      <c r="J172" s="37"/>
      <c r="K172" s="37"/>
      <c r="L172" s="37"/>
      <c r="M172" s="37"/>
      <c r="N172" s="37"/>
      <c r="O172" s="37"/>
      <c r="P172" s="37"/>
      <c r="Q172" s="37"/>
      <c r="R172" s="37"/>
      <c r="S172" s="37"/>
      <c r="T172" s="37"/>
      <c r="U172" s="37"/>
      <c r="V172" s="37"/>
      <c r="W172" s="37"/>
      <c r="X172" s="37"/>
      <c r="Y172" s="37"/>
    </row>
    <row r="173" spans="1:25" ht="12.75">
      <c r="A173" s="37"/>
      <c r="B173" s="37"/>
      <c r="C173" s="37"/>
      <c r="E173" s="37"/>
      <c r="F173" s="37"/>
      <c r="G173" s="37"/>
      <c r="I173" s="37"/>
      <c r="J173" s="37"/>
      <c r="K173" s="37"/>
      <c r="L173" s="37"/>
      <c r="M173" s="37"/>
      <c r="N173" s="37"/>
      <c r="O173" s="37"/>
      <c r="P173" s="37"/>
      <c r="Q173" s="37"/>
      <c r="R173" s="37"/>
      <c r="S173" s="37"/>
      <c r="T173" s="37"/>
      <c r="U173" s="37"/>
      <c r="V173" s="37"/>
      <c r="W173" s="37"/>
      <c r="X173" s="37"/>
      <c r="Y173" s="37"/>
    </row>
    <row r="174" spans="1:25" ht="12.75">
      <c r="A174" s="37"/>
      <c r="B174" s="37"/>
      <c r="C174" s="37"/>
      <c r="E174" s="37"/>
      <c r="F174" s="37"/>
      <c r="G174" s="37"/>
      <c r="I174" s="37"/>
      <c r="J174" s="37"/>
      <c r="K174" s="37"/>
      <c r="L174" s="37"/>
      <c r="M174" s="37"/>
      <c r="N174" s="37"/>
      <c r="O174" s="37"/>
      <c r="P174" s="37"/>
      <c r="Q174" s="37"/>
      <c r="R174" s="37"/>
      <c r="S174" s="37"/>
      <c r="T174" s="37"/>
      <c r="U174" s="37"/>
      <c r="V174" s="37"/>
      <c r="W174" s="37"/>
      <c r="X174" s="37"/>
      <c r="Y174" s="37"/>
    </row>
    <row r="175" spans="1:25" ht="12.75">
      <c r="A175" s="37"/>
      <c r="B175" s="37"/>
      <c r="C175" s="37"/>
      <c r="E175" s="37"/>
      <c r="F175" s="37"/>
      <c r="G175" s="37"/>
      <c r="I175" s="37"/>
      <c r="J175" s="37"/>
      <c r="K175" s="37"/>
      <c r="L175" s="37"/>
      <c r="M175" s="37"/>
      <c r="N175" s="37"/>
      <c r="O175" s="37"/>
      <c r="P175" s="37"/>
      <c r="Q175" s="37"/>
      <c r="R175" s="37"/>
      <c r="S175" s="37"/>
      <c r="T175" s="37"/>
      <c r="U175" s="37"/>
      <c r="V175" s="37"/>
      <c r="W175" s="37"/>
      <c r="X175" s="37"/>
      <c r="Y175" s="37"/>
    </row>
    <row r="176" spans="1:25" ht="12.75">
      <c r="A176" s="37"/>
      <c r="B176" s="37"/>
      <c r="C176" s="37"/>
      <c r="E176" s="37"/>
      <c r="F176" s="37"/>
      <c r="G176" s="37"/>
      <c r="I176" s="37"/>
      <c r="J176" s="37"/>
      <c r="K176" s="37"/>
      <c r="L176" s="37"/>
      <c r="M176" s="37"/>
      <c r="N176" s="37"/>
      <c r="O176" s="37"/>
      <c r="P176" s="37"/>
      <c r="Q176" s="37"/>
      <c r="R176" s="37"/>
      <c r="S176" s="37"/>
      <c r="T176" s="37"/>
      <c r="U176" s="37"/>
      <c r="V176" s="37"/>
      <c r="W176" s="37"/>
      <c r="X176" s="37"/>
      <c r="Y176" s="37"/>
    </row>
    <row r="177" spans="1:25" ht="12.75">
      <c r="A177" s="37"/>
      <c r="B177" s="37"/>
      <c r="C177" s="37"/>
      <c r="E177" s="37"/>
      <c r="F177" s="37"/>
      <c r="G177" s="37"/>
      <c r="I177" s="37"/>
      <c r="J177" s="37"/>
      <c r="K177" s="37"/>
      <c r="L177" s="37"/>
      <c r="M177" s="37"/>
      <c r="N177" s="37"/>
      <c r="O177" s="37"/>
      <c r="P177" s="37"/>
      <c r="Q177" s="37"/>
      <c r="R177" s="37"/>
      <c r="S177" s="37"/>
      <c r="T177" s="37"/>
      <c r="U177" s="37"/>
      <c r="V177" s="37"/>
      <c r="W177" s="37"/>
      <c r="X177" s="37"/>
      <c r="Y177" s="37"/>
    </row>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sheetData>
  <sheetProtection/>
  <printOptions/>
  <pageMargins left="0.75" right="0.75" top="1" bottom="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codeName="Blad5"/>
  <dimension ref="A1:L144"/>
  <sheetViews>
    <sheetView zoomScalePageLayoutView="0" workbookViewId="0" topLeftCell="A101">
      <selection activeCell="C132" sqref="C132"/>
    </sheetView>
  </sheetViews>
  <sheetFormatPr defaultColWidth="9.140625" defaultRowHeight="12.75"/>
  <cols>
    <col min="1" max="1" width="27.28125" style="0" customWidth="1"/>
    <col min="2" max="2" width="16.57421875" style="0" customWidth="1"/>
    <col min="3" max="3" width="17.421875" style="0" customWidth="1"/>
    <col min="5" max="5" width="27.8515625" style="0" customWidth="1"/>
    <col min="6" max="6" width="16.140625" style="0" customWidth="1"/>
    <col min="7" max="7" width="15.8515625" style="0" customWidth="1"/>
    <col min="13" max="54" width="9.140625" style="37" customWidth="1"/>
  </cols>
  <sheetData>
    <row r="1" spans="1:12" ht="21.75">
      <c r="A1" s="108" t="s">
        <v>75</v>
      </c>
      <c r="B1" s="83"/>
      <c r="C1" s="81"/>
      <c r="D1" s="35"/>
      <c r="E1" s="35"/>
      <c r="F1" s="35"/>
      <c r="G1" s="35"/>
      <c r="H1" s="37"/>
      <c r="I1" s="37"/>
      <c r="J1" s="37"/>
      <c r="K1" s="37"/>
      <c r="L1" s="37"/>
    </row>
    <row r="2" spans="1:12" ht="12.75">
      <c r="A2" s="84"/>
      <c r="B2" s="83"/>
      <c r="C2" s="81"/>
      <c r="D2" s="35"/>
      <c r="E2" s="35"/>
      <c r="F2" s="35"/>
      <c r="G2" s="35"/>
      <c r="H2" s="37"/>
      <c r="I2" s="37"/>
      <c r="J2" s="37"/>
      <c r="K2" s="37"/>
      <c r="L2" s="37"/>
    </row>
    <row r="3" spans="1:12" ht="15.75">
      <c r="A3" s="77" t="s">
        <v>149</v>
      </c>
      <c r="B3" s="83"/>
      <c r="C3" s="81"/>
      <c r="D3" s="35"/>
      <c r="E3" s="35"/>
      <c r="F3" s="35"/>
      <c r="G3" s="35"/>
      <c r="H3" s="37"/>
      <c r="I3" s="37"/>
      <c r="J3" s="37"/>
      <c r="K3" s="37"/>
      <c r="L3" s="37"/>
    </row>
    <row r="4" spans="1:12" ht="12.75">
      <c r="A4" s="84"/>
      <c r="B4" s="83"/>
      <c r="C4" s="81"/>
      <c r="D4" s="35"/>
      <c r="E4" s="35"/>
      <c r="F4" s="35"/>
      <c r="G4" s="35"/>
      <c r="H4" s="37"/>
      <c r="I4" s="37"/>
      <c r="J4" s="37"/>
      <c r="K4" s="37"/>
      <c r="L4" s="37"/>
    </row>
    <row r="5" spans="1:7" s="70" customFormat="1" ht="15.75">
      <c r="A5" s="137" t="s">
        <v>205</v>
      </c>
      <c r="B5" s="79"/>
      <c r="C5" s="80"/>
      <c r="D5" s="76"/>
      <c r="E5" s="76"/>
      <c r="F5" s="76"/>
      <c r="G5" s="76"/>
    </row>
    <row r="6" spans="1:12" ht="15.75">
      <c r="A6" s="82"/>
      <c r="B6" s="83"/>
      <c r="C6" s="81"/>
      <c r="D6" s="35"/>
      <c r="E6" s="35"/>
      <c r="F6" s="35"/>
      <c r="G6" s="35"/>
      <c r="H6" s="37"/>
      <c r="I6" s="37"/>
      <c r="J6" s="37"/>
      <c r="K6" s="37"/>
      <c r="L6" s="37"/>
    </row>
    <row r="7" spans="1:12" ht="15.75">
      <c r="A7" s="96" t="s">
        <v>183</v>
      </c>
      <c r="B7" s="83"/>
      <c r="C7" s="81"/>
      <c r="D7" s="35"/>
      <c r="E7" s="35"/>
      <c r="F7" s="35"/>
      <c r="G7" s="35"/>
      <c r="H7" s="37"/>
      <c r="I7" s="37"/>
      <c r="J7" s="37"/>
      <c r="K7" s="37"/>
      <c r="L7" s="37"/>
    </row>
    <row r="8" spans="1:12" ht="15.75">
      <c r="A8" s="82"/>
      <c r="B8" s="83"/>
      <c r="C8" s="81"/>
      <c r="D8" s="35"/>
      <c r="E8" s="35"/>
      <c r="F8" s="35"/>
      <c r="G8" s="35"/>
      <c r="H8" s="37"/>
      <c r="I8" s="37"/>
      <c r="J8" s="37"/>
      <c r="K8" s="37"/>
      <c r="L8" s="37"/>
    </row>
    <row r="9" spans="1:12" ht="15">
      <c r="A9" s="139" t="s">
        <v>70</v>
      </c>
      <c r="B9" s="93" t="s">
        <v>13</v>
      </c>
      <c r="C9" s="94" t="s">
        <v>6</v>
      </c>
      <c r="D9" s="35"/>
      <c r="E9" s="139" t="s">
        <v>70</v>
      </c>
      <c r="F9" s="93" t="s">
        <v>13</v>
      </c>
      <c r="G9" s="94" t="s">
        <v>6</v>
      </c>
      <c r="H9" s="37"/>
      <c r="I9" s="37"/>
      <c r="J9" s="37"/>
      <c r="K9" s="37"/>
      <c r="L9" s="37"/>
    </row>
    <row r="10" spans="1:12" ht="15">
      <c r="A10" s="140" t="s">
        <v>84</v>
      </c>
      <c r="B10" s="85" t="s">
        <v>69</v>
      </c>
      <c r="C10" s="86" t="s">
        <v>79</v>
      </c>
      <c r="D10" s="35"/>
      <c r="E10" s="140" t="s">
        <v>84</v>
      </c>
      <c r="F10" s="78" t="s">
        <v>80</v>
      </c>
      <c r="G10" s="89" t="s">
        <v>69</v>
      </c>
      <c r="H10" s="37"/>
      <c r="I10" s="37"/>
      <c r="J10" s="37"/>
      <c r="K10" s="37"/>
      <c r="L10" s="37"/>
    </row>
    <row r="11" spans="1:12" ht="12.75">
      <c r="A11" s="141" t="s">
        <v>165</v>
      </c>
      <c r="B11" s="176">
        <v>30</v>
      </c>
      <c r="C11" s="87">
        <f>B11*(14.01+2*16)/22.4</f>
        <v>61.620535714285715</v>
      </c>
      <c r="D11" s="35" t="s">
        <v>224</v>
      </c>
      <c r="E11" s="141" t="s">
        <v>165</v>
      </c>
      <c r="F11" s="176">
        <v>62</v>
      </c>
      <c r="G11" s="87">
        <f>F11*22.4/(14.01+2*16)</f>
        <v>30.184742447294067</v>
      </c>
      <c r="H11" s="37"/>
      <c r="I11" s="37"/>
      <c r="J11" s="37"/>
      <c r="K11" s="37"/>
      <c r="L11" s="37"/>
    </row>
    <row r="12" spans="1:12" ht="15">
      <c r="A12" s="141" t="s">
        <v>72</v>
      </c>
      <c r="B12" s="176">
        <v>10</v>
      </c>
      <c r="C12" s="87">
        <f>B12*(14.01+2*16)/22.4</f>
        <v>20.540178571428573</v>
      </c>
      <c r="D12" s="35"/>
      <c r="E12" s="141" t="s">
        <v>72</v>
      </c>
      <c r="F12" s="176">
        <v>21</v>
      </c>
      <c r="G12" s="87">
        <f>F12*22.4/(14.01+2*16)</f>
        <v>10.22386437730928</v>
      </c>
      <c r="H12" s="37"/>
      <c r="I12" s="37"/>
      <c r="J12" s="37"/>
      <c r="K12" s="37"/>
      <c r="L12" s="37"/>
    </row>
    <row r="13" spans="1:12" ht="15">
      <c r="A13" s="141" t="s">
        <v>221</v>
      </c>
      <c r="B13" s="176">
        <v>40</v>
      </c>
      <c r="C13" s="87">
        <f>B13*(14.01+2*16)/22.4</f>
        <v>82.16071428571429</v>
      </c>
      <c r="D13" s="35" t="s">
        <v>224</v>
      </c>
      <c r="E13" s="141" t="s">
        <v>221</v>
      </c>
      <c r="F13" s="176">
        <v>83</v>
      </c>
      <c r="G13" s="87">
        <f>F13*22.4/(14.01+2*16)</f>
        <v>40.408606824603346</v>
      </c>
      <c r="H13" s="37"/>
      <c r="I13" s="37"/>
      <c r="J13" s="37"/>
      <c r="K13" s="37"/>
      <c r="L13" s="37"/>
    </row>
    <row r="14" spans="1:12" ht="15">
      <c r="A14" s="141" t="s">
        <v>81</v>
      </c>
      <c r="B14" s="176">
        <v>10</v>
      </c>
      <c r="C14" s="87">
        <f>B14*(2*14.01+16)/22.4</f>
        <v>19.65178571428571</v>
      </c>
      <c r="D14" s="35"/>
      <c r="E14" s="141" t="s">
        <v>81</v>
      </c>
      <c r="F14" s="176">
        <v>20</v>
      </c>
      <c r="G14" s="87">
        <f>F14*22.4/(14.01*2+16)</f>
        <v>10.177192185370288</v>
      </c>
      <c r="H14" s="37"/>
      <c r="I14" s="37"/>
      <c r="J14" s="37"/>
      <c r="K14" s="37"/>
      <c r="L14" s="37"/>
    </row>
    <row r="15" spans="1:12" ht="15">
      <c r="A15" s="141" t="s">
        <v>82</v>
      </c>
      <c r="B15" s="176">
        <v>30</v>
      </c>
      <c r="C15" s="87">
        <f>B15*(14.01+3*1.008)/22.4</f>
        <v>22.81339285714286</v>
      </c>
      <c r="D15" s="35"/>
      <c r="E15" s="141" t="s">
        <v>82</v>
      </c>
      <c r="F15" s="176">
        <v>23</v>
      </c>
      <c r="G15" s="87">
        <f>F15*22.4/(14.01+3*1.008)</f>
        <v>30.245391569801573</v>
      </c>
      <c r="H15" s="37"/>
      <c r="I15" s="37"/>
      <c r="J15" s="37"/>
      <c r="K15" s="37"/>
      <c r="L15" s="37"/>
    </row>
    <row r="16" spans="1:12" ht="15">
      <c r="A16" s="141" t="s">
        <v>73</v>
      </c>
      <c r="B16" s="176">
        <v>20</v>
      </c>
      <c r="C16" s="87">
        <f>B16*(12.01+4*1.008)/22.4</f>
        <v>14.323214285714288</v>
      </c>
      <c r="D16" s="35"/>
      <c r="E16" s="141" t="s">
        <v>73</v>
      </c>
      <c r="F16" s="176">
        <v>20</v>
      </c>
      <c r="G16" s="87">
        <f>F16*22.4/(12.01+4*1.008)</f>
        <v>27.92669243236504</v>
      </c>
      <c r="H16" s="37"/>
      <c r="I16" s="37"/>
      <c r="J16" s="37"/>
      <c r="K16" s="37"/>
      <c r="L16" s="37"/>
    </row>
    <row r="17" spans="1:12" ht="12.75">
      <c r="A17" s="141" t="s">
        <v>71</v>
      </c>
      <c r="B17" s="176">
        <v>10</v>
      </c>
      <c r="C17" s="87">
        <f>B17*(12.01+16)/22.4</f>
        <v>12.504464285714285</v>
      </c>
      <c r="D17" s="35"/>
      <c r="E17" s="141" t="s">
        <v>71</v>
      </c>
      <c r="F17" s="176">
        <v>13</v>
      </c>
      <c r="G17" s="87">
        <f>F17*22.4/(12.01+16)</f>
        <v>10.396287040342735</v>
      </c>
      <c r="H17" s="37"/>
      <c r="I17" s="37"/>
      <c r="J17" s="37"/>
      <c r="K17" s="37"/>
      <c r="L17" s="37"/>
    </row>
    <row r="18" spans="1:12" ht="15">
      <c r="A18" s="141" t="s">
        <v>78</v>
      </c>
      <c r="B18" s="176">
        <v>10</v>
      </c>
      <c r="C18" s="87">
        <f>B18*(12.01+2*16)/22.4</f>
        <v>19.647321428571427</v>
      </c>
      <c r="D18" s="35"/>
      <c r="E18" s="141" t="s">
        <v>78</v>
      </c>
      <c r="F18" s="176">
        <v>20</v>
      </c>
      <c r="G18" s="87">
        <f>F18*22.4/(12.01+16*2)</f>
        <v>10.179504658032267</v>
      </c>
      <c r="H18" s="37"/>
      <c r="I18" s="37"/>
      <c r="J18" s="37"/>
      <c r="K18" s="37"/>
      <c r="L18" s="37"/>
    </row>
    <row r="19" spans="1:12" ht="15">
      <c r="A19" s="141" t="s">
        <v>74</v>
      </c>
      <c r="B19" s="176">
        <v>20</v>
      </c>
      <c r="C19" s="87">
        <f>B19*(32.06+2*16)/22.4</f>
        <v>57.19642857142858</v>
      </c>
      <c r="D19" s="35"/>
      <c r="E19" s="141" t="s">
        <v>74</v>
      </c>
      <c r="F19" s="176">
        <v>57</v>
      </c>
      <c r="G19" s="87">
        <f>F19*22.4/(32.06+16*2)</f>
        <v>19.93131439275679</v>
      </c>
      <c r="H19" s="37"/>
      <c r="I19" s="37"/>
      <c r="J19" s="37"/>
      <c r="K19" s="37"/>
      <c r="L19" s="37"/>
    </row>
    <row r="20" spans="1:12" ht="15">
      <c r="A20" s="141" t="s">
        <v>76</v>
      </c>
      <c r="B20" s="176">
        <v>700</v>
      </c>
      <c r="C20" s="88">
        <f>B20*(2*16)/22.4</f>
        <v>1000.0000000000001</v>
      </c>
      <c r="D20" s="35"/>
      <c r="E20" s="141" t="s">
        <v>76</v>
      </c>
      <c r="F20" s="176">
        <v>1000</v>
      </c>
      <c r="G20" s="90">
        <f>F20*22.4/(2*16)</f>
        <v>700</v>
      </c>
      <c r="H20" s="37"/>
      <c r="I20" s="37"/>
      <c r="J20" s="37"/>
      <c r="K20" s="37"/>
      <c r="L20" s="37"/>
    </row>
    <row r="21" spans="1:12" ht="12.75">
      <c r="A21" s="141" t="s">
        <v>77</v>
      </c>
      <c r="B21" s="176">
        <v>10</v>
      </c>
      <c r="C21" s="87">
        <f>B21*(1.008+35.45)/22.4</f>
        <v>16.27589285714286</v>
      </c>
      <c r="D21" s="35"/>
      <c r="E21" s="141" t="s">
        <v>77</v>
      </c>
      <c r="F21" s="177">
        <v>16</v>
      </c>
      <c r="G21" s="91">
        <f>F21*22.4/(1.008+35.45)</f>
        <v>9.830489878764604</v>
      </c>
      <c r="H21" s="37"/>
      <c r="I21" s="37"/>
      <c r="J21" s="37"/>
      <c r="K21" s="37"/>
      <c r="L21" s="37"/>
    </row>
    <row r="22" spans="1:12" ht="12.75">
      <c r="A22" s="141" t="s">
        <v>160</v>
      </c>
      <c r="B22" s="176">
        <v>20</v>
      </c>
      <c r="C22" s="87">
        <f>B22*(19+1.008)/22.4</f>
        <v>17.864285714285714</v>
      </c>
      <c r="D22" s="35"/>
      <c r="E22" s="141" t="s">
        <v>160</v>
      </c>
      <c r="F22" s="177">
        <v>18</v>
      </c>
      <c r="G22" s="91">
        <f>F22*22.4/(19+1.008)</f>
        <v>20.151939224310276</v>
      </c>
      <c r="H22" s="37"/>
      <c r="I22" s="37"/>
      <c r="J22" s="37"/>
      <c r="K22" s="37"/>
      <c r="L22" s="37"/>
    </row>
    <row r="23" spans="1:12" ht="15">
      <c r="A23" s="141" t="s">
        <v>83</v>
      </c>
      <c r="B23" s="176">
        <v>300</v>
      </c>
      <c r="C23" s="91">
        <f>B23*(1.008*2+16)/22.4</f>
        <v>241.28571428571428</v>
      </c>
      <c r="D23" s="35"/>
      <c r="E23" s="141" t="s">
        <v>83</v>
      </c>
      <c r="F23" s="176">
        <v>241</v>
      </c>
      <c r="G23" s="91">
        <f>F23*22.4/(2*1.008+16)</f>
        <v>299.64476021314385</v>
      </c>
      <c r="H23" s="37"/>
      <c r="I23" s="37"/>
      <c r="J23" s="37"/>
      <c r="K23" s="37"/>
      <c r="L23" s="37"/>
    </row>
    <row r="24" spans="1:12" ht="15.75">
      <c r="A24" s="35" t="s">
        <v>223</v>
      </c>
      <c r="B24" s="37"/>
      <c r="C24" s="37"/>
      <c r="D24" s="35"/>
      <c r="E24" s="35" t="s">
        <v>222</v>
      </c>
      <c r="F24" s="35"/>
      <c r="G24" s="35"/>
      <c r="H24" s="37"/>
      <c r="I24" s="37"/>
      <c r="J24" s="37"/>
      <c r="K24" s="37"/>
      <c r="L24" s="37"/>
    </row>
    <row r="25" spans="1:12" ht="12.75">
      <c r="A25" s="35"/>
      <c r="B25" s="37"/>
      <c r="C25" s="37"/>
      <c r="D25" s="35"/>
      <c r="E25" s="35"/>
      <c r="F25" s="35"/>
      <c r="G25" s="35"/>
      <c r="H25" s="37"/>
      <c r="I25" s="37"/>
      <c r="J25" s="37"/>
      <c r="K25" s="37"/>
      <c r="L25" s="37"/>
    </row>
    <row r="26" spans="1:12" ht="12.75">
      <c r="A26" s="37"/>
      <c r="B26" s="37"/>
      <c r="C26" s="37"/>
      <c r="D26" s="35"/>
      <c r="E26" s="35"/>
      <c r="F26" s="35"/>
      <c r="G26" s="35"/>
      <c r="H26" s="37"/>
      <c r="I26" s="37"/>
      <c r="J26" s="37"/>
      <c r="K26" s="37"/>
      <c r="L26" s="37"/>
    </row>
    <row r="27" spans="1:12" ht="15.75">
      <c r="A27" s="137" t="s">
        <v>206</v>
      </c>
      <c r="B27" s="79"/>
      <c r="C27" s="80"/>
      <c r="D27" s="76"/>
      <c r="E27" s="76"/>
      <c r="F27" s="76"/>
      <c r="G27" s="76"/>
      <c r="H27" s="37"/>
      <c r="I27" s="37"/>
      <c r="J27" s="37"/>
      <c r="K27" s="37"/>
      <c r="L27" s="37"/>
    </row>
    <row r="28" spans="1:12" ht="15.75">
      <c r="A28" s="82"/>
      <c r="B28" s="83"/>
      <c r="C28" s="81"/>
      <c r="D28" s="35"/>
      <c r="E28" s="35"/>
      <c r="F28" s="35"/>
      <c r="G28" s="35"/>
      <c r="H28" s="37"/>
      <c r="I28" s="37"/>
      <c r="J28" s="37"/>
      <c r="K28" s="37"/>
      <c r="L28" s="37"/>
    </row>
    <row r="29" spans="1:12" ht="15.75">
      <c r="A29" s="82" t="s">
        <v>200</v>
      </c>
      <c r="B29" s="83"/>
      <c r="C29" s="81"/>
      <c r="D29" s="35"/>
      <c r="E29" s="35"/>
      <c r="F29" s="35"/>
      <c r="G29" s="35"/>
      <c r="H29" s="37"/>
      <c r="I29" s="37"/>
      <c r="J29" s="37"/>
      <c r="K29" s="37"/>
      <c r="L29" s="37"/>
    </row>
    <row r="30" spans="1:12" ht="15.75">
      <c r="A30" s="82"/>
      <c r="B30" s="83"/>
      <c r="C30" s="81"/>
      <c r="D30" s="35"/>
      <c r="E30" s="35"/>
      <c r="F30" s="35"/>
      <c r="G30" s="35"/>
      <c r="H30" s="37"/>
      <c r="I30" s="37"/>
      <c r="J30" s="37"/>
      <c r="K30" s="37"/>
      <c r="L30" s="37"/>
    </row>
    <row r="31" spans="1:12" ht="15">
      <c r="A31" s="14" t="s">
        <v>13</v>
      </c>
      <c r="B31" s="179"/>
      <c r="C31" s="180"/>
      <c r="D31" s="35"/>
      <c r="E31" s="35"/>
      <c r="F31" s="35"/>
      <c r="G31" s="35"/>
      <c r="H31" s="37"/>
      <c r="I31" s="37"/>
      <c r="J31" s="37"/>
      <c r="K31" s="37"/>
      <c r="L31" s="37"/>
    </row>
    <row r="32" spans="1:12" ht="12.75">
      <c r="A32" s="32"/>
      <c r="B32" s="178"/>
      <c r="C32" s="181"/>
      <c r="D32" s="35"/>
      <c r="E32" s="35"/>
      <c r="F32" s="35"/>
      <c r="G32" s="35"/>
      <c r="H32" s="37"/>
      <c r="I32" s="37"/>
      <c r="J32" s="37"/>
      <c r="K32" s="37"/>
      <c r="L32" s="37"/>
    </row>
    <row r="33" spans="1:12" ht="12.75">
      <c r="A33" s="182" t="s">
        <v>175</v>
      </c>
      <c r="B33" s="184">
        <v>18</v>
      </c>
      <c r="C33" s="183" t="s">
        <v>178</v>
      </c>
      <c r="D33" s="35"/>
      <c r="E33" s="35"/>
      <c r="F33" s="35"/>
      <c r="G33" s="35"/>
      <c r="H33" s="37"/>
      <c r="I33" s="37"/>
      <c r="J33" s="37"/>
      <c r="K33" s="37"/>
      <c r="L33" s="37"/>
    </row>
    <row r="34" spans="1:12" ht="15.75">
      <c r="A34" s="82"/>
      <c r="B34" s="83"/>
      <c r="C34" s="81"/>
      <c r="D34" s="35"/>
      <c r="E34" s="35"/>
      <c r="F34" s="35"/>
      <c r="G34" s="35"/>
      <c r="H34" s="37"/>
      <c r="I34" s="37"/>
      <c r="J34" s="37"/>
      <c r="K34" s="37"/>
      <c r="L34" s="37"/>
    </row>
    <row r="35" spans="1:12" ht="15.75">
      <c r="A35" s="96" t="s">
        <v>201</v>
      </c>
      <c r="B35" s="83"/>
      <c r="C35" s="81"/>
      <c r="D35" s="35"/>
      <c r="E35" s="35"/>
      <c r="F35" s="35"/>
      <c r="G35" s="35"/>
      <c r="H35" s="37"/>
      <c r="I35" s="37"/>
      <c r="J35" s="37"/>
      <c r="K35" s="37"/>
      <c r="L35" s="37"/>
    </row>
    <row r="36" spans="1:12" ht="15.75">
      <c r="A36" s="82"/>
      <c r="B36" s="83"/>
      <c r="C36" s="81"/>
      <c r="D36" s="35"/>
      <c r="E36" s="35"/>
      <c r="F36" s="35"/>
      <c r="G36" s="35"/>
      <c r="H36" s="37"/>
      <c r="I36" s="37"/>
      <c r="J36" s="37"/>
      <c r="K36" s="37"/>
      <c r="L36" s="37"/>
    </row>
    <row r="37" spans="1:12" ht="15">
      <c r="A37" s="139" t="s">
        <v>70</v>
      </c>
      <c r="B37" s="93" t="s">
        <v>13</v>
      </c>
      <c r="C37" s="94" t="s">
        <v>6</v>
      </c>
      <c r="D37" s="35"/>
      <c r="E37" s="139" t="s">
        <v>70</v>
      </c>
      <c r="F37" s="93" t="s">
        <v>13</v>
      </c>
      <c r="G37" s="94" t="s">
        <v>6</v>
      </c>
      <c r="H37" s="37"/>
      <c r="I37" s="37"/>
      <c r="J37" s="37"/>
      <c r="K37" s="37"/>
      <c r="L37" s="37"/>
    </row>
    <row r="38" spans="1:12" ht="12.75">
      <c r="A38" s="140" t="s">
        <v>84</v>
      </c>
      <c r="B38" s="85" t="s">
        <v>173</v>
      </c>
      <c r="C38" s="86" t="s">
        <v>174</v>
      </c>
      <c r="D38" s="35"/>
      <c r="E38" s="140" t="s">
        <v>84</v>
      </c>
      <c r="F38" s="85" t="s">
        <v>174</v>
      </c>
      <c r="G38" s="86" t="s">
        <v>173</v>
      </c>
      <c r="H38" s="37"/>
      <c r="I38" s="37"/>
      <c r="J38" s="37"/>
      <c r="K38" s="37"/>
      <c r="L38" s="37"/>
    </row>
    <row r="39" spans="1:12" ht="12.75">
      <c r="A39" s="141" t="s">
        <v>225</v>
      </c>
      <c r="B39" s="176">
        <v>30</v>
      </c>
      <c r="C39" s="185">
        <f>B39/(1-$B$33/100)</f>
        <v>36.58536585365854</v>
      </c>
      <c r="D39" s="35"/>
      <c r="E39" s="141" t="s">
        <v>225</v>
      </c>
      <c r="F39" s="177">
        <v>36.58536585365854</v>
      </c>
      <c r="G39" s="87">
        <f>F39*(1-$B$33/100)</f>
        <v>30.000000000000004</v>
      </c>
      <c r="H39" s="37"/>
      <c r="I39" s="37"/>
      <c r="J39" s="37"/>
      <c r="K39" s="37"/>
      <c r="L39" s="37"/>
    </row>
    <row r="40" spans="1:12" ht="15">
      <c r="A40" s="141" t="s">
        <v>72</v>
      </c>
      <c r="B40" s="176">
        <v>10</v>
      </c>
      <c r="C40" s="185">
        <f aca="true" t="shared" si="0" ref="C40:C51">B40/(1-$B$33/100)</f>
        <v>12.19512195121951</v>
      </c>
      <c r="D40" s="35"/>
      <c r="E40" s="141" t="s">
        <v>72</v>
      </c>
      <c r="F40" s="177">
        <v>12.19512195121951</v>
      </c>
      <c r="G40" s="87">
        <f aca="true" t="shared" si="1" ref="G40:G51">F40*(1-$B$33/100)</f>
        <v>10</v>
      </c>
      <c r="H40" s="37"/>
      <c r="I40" s="37"/>
      <c r="J40" s="37"/>
      <c r="K40" s="37"/>
      <c r="L40" s="37"/>
    </row>
    <row r="41" spans="1:12" ht="15">
      <c r="A41" s="141" t="s">
        <v>167</v>
      </c>
      <c r="B41" s="176">
        <v>40</v>
      </c>
      <c r="C41" s="185">
        <f t="shared" si="0"/>
        <v>48.78048780487804</v>
      </c>
      <c r="D41" s="35"/>
      <c r="E41" s="141" t="s">
        <v>167</v>
      </c>
      <c r="F41" s="177">
        <v>48.78048780487804</v>
      </c>
      <c r="G41" s="87">
        <f t="shared" si="1"/>
        <v>40</v>
      </c>
      <c r="H41" s="37"/>
      <c r="I41" s="37"/>
      <c r="J41" s="37"/>
      <c r="K41" s="37"/>
      <c r="L41" s="37"/>
    </row>
    <row r="42" spans="1:7" s="70" customFormat="1" ht="15">
      <c r="A42" s="141" t="s">
        <v>81</v>
      </c>
      <c r="B42" s="176">
        <v>10</v>
      </c>
      <c r="C42" s="185">
        <f t="shared" si="0"/>
        <v>12.19512195121951</v>
      </c>
      <c r="D42" s="35"/>
      <c r="E42" s="141" t="s">
        <v>81</v>
      </c>
      <c r="F42" s="177">
        <v>12.19512195121951</v>
      </c>
      <c r="G42" s="87">
        <f t="shared" si="1"/>
        <v>10</v>
      </c>
    </row>
    <row r="43" spans="1:12" ht="15">
      <c r="A43" s="141" t="s">
        <v>82</v>
      </c>
      <c r="B43" s="176">
        <v>30</v>
      </c>
      <c r="C43" s="185">
        <f t="shared" si="0"/>
        <v>36.58536585365854</v>
      </c>
      <c r="D43" s="35"/>
      <c r="E43" s="141" t="s">
        <v>82</v>
      </c>
      <c r="F43" s="177">
        <v>36.58536585365854</v>
      </c>
      <c r="G43" s="87">
        <f t="shared" si="1"/>
        <v>30.000000000000004</v>
      </c>
      <c r="H43" s="37"/>
      <c r="I43" s="37"/>
      <c r="J43" s="37"/>
      <c r="K43" s="37"/>
      <c r="L43" s="37"/>
    </row>
    <row r="44" spans="1:12" ht="15" customHeight="1">
      <c r="A44" s="141" t="s">
        <v>73</v>
      </c>
      <c r="B44" s="176">
        <v>20</v>
      </c>
      <c r="C44" s="185">
        <f t="shared" si="0"/>
        <v>24.39024390243902</v>
      </c>
      <c r="D44" s="35"/>
      <c r="E44" s="141" t="s">
        <v>73</v>
      </c>
      <c r="F44" s="177">
        <v>24.39024390243902</v>
      </c>
      <c r="G44" s="87">
        <f t="shared" si="1"/>
        <v>20</v>
      </c>
      <c r="H44" s="37"/>
      <c r="I44" s="37"/>
      <c r="J44" s="37"/>
      <c r="K44" s="37"/>
      <c r="L44" s="37"/>
    </row>
    <row r="45" spans="1:12" ht="12.75">
      <c r="A45" s="141" t="s">
        <v>71</v>
      </c>
      <c r="B45" s="176">
        <v>10</v>
      </c>
      <c r="C45" s="185">
        <f t="shared" si="0"/>
        <v>12.19512195121951</v>
      </c>
      <c r="D45" s="35"/>
      <c r="E45" s="141" t="s">
        <v>71</v>
      </c>
      <c r="F45" s="177">
        <v>12.19512195121951</v>
      </c>
      <c r="G45" s="87">
        <f t="shared" si="1"/>
        <v>10</v>
      </c>
      <c r="H45" s="37"/>
      <c r="I45" s="37"/>
      <c r="J45" s="37"/>
      <c r="K45" s="37"/>
      <c r="L45" s="37"/>
    </row>
    <row r="46" spans="1:12" ht="15">
      <c r="A46" s="141" t="s">
        <v>78</v>
      </c>
      <c r="B46" s="176">
        <v>10</v>
      </c>
      <c r="C46" s="185">
        <f t="shared" si="0"/>
        <v>12.19512195121951</v>
      </c>
      <c r="D46" s="35"/>
      <c r="E46" s="141" t="s">
        <v>78</v>
      </c>
      <c r="F46" s="177">
        <v>12.19512195121951</v>
      </c>
      <c r="G46" s="87">
        <f t="shared" si="1"/>
        <v>10</v>
      </c>
      <c r="H46" s="37"/>
      <c r="I46" s="37"/>
      <c r="J46" s="37"/>
      <c r="K46" s="37"/>
      <c r="L46" s="37"/>
    </row>
    <row r="47" spans="1:12" ht="15">
      <c r="A47" s="141" t="s">
        <v>74</v>
      </c>
      <c r="B47" s="176">
        <v>20</v>
      </c>
      <c r="C47" s="185">
        <f t="shared" si="0"/>
        <v>24.39024390243902</v>
      </c>
      <c r="D47" s="35"/>
      <c r="E47" s="141" t="s">
        <v>74</v>
      </c>
      <c r="F47" s="177">
        <v>24.39024390243902</v>
      </c>
      <c r="G47" s="87">
        <f t="shared" si="1"/>
        <v>20</v>
      </c>
      <c r="H47" s="37"/>
      <c r="I47" s="37"/>
      <c r="J47" s="37"/>
      <c r="K47" s="37"/>
      <c r="L47" s="37"/>
    </row>
    <row r="48" spans="1:12" ht="15">
      <c r="A48" s="141" t="s">
        <v>76</v>
      </c>
      <c r="B48" s="176">
        <v>700</v>
      </c>
      <c r="C48" s="185">
        <f t="shared" si="0"/>
        <v>853.6585365853658</v>
      </c>
      <c r="D48" s="35"/>
      <c r="E48" s="141" t="s">
        <v>76</v>
      </c>
      <c r="F48" s="177">
        <v>853.6585365853658</v>
      </c>
      <c r="G48" s="87">
        <f t="shared" si="1"/>
        <v>700</v>
      </c>
      <c r="H48" s="37"/>
      <c r="I48" s="37"/>
      <c r="J48" s="37"/>
      <c r="K48" s="37"/>
      <c r="L48" s="37"/>
    </row>
    <row r="49" spans="1:12" ht="12.75">
      <c r="A49" s="141" t="s">
        <v>77</v>
      </c>
      <c r="B49" s="176">
        <v>10</v>
      </c>
      <c r="C49" s="185">
        <f t="shared" si="0"/>
        <v>12.19512195121951</v>
      </c>
      <c r="D49" s="35"/>
      <c r="E49" s="141" t="s">
        <v>77</v>
      </c>
      <c r="F49" s="177">
        <v>12.19512195121951</v>
      </c>
      <c r="G49" s="87">
        <f t="shared" si="1"/>
        <v>10</v>
      </c>
      <c r="H49" s="37"/>
      <c r="I49" s="37"/>
      <c r="J49" s="37"/>
      <c r="K49" s="37"/>
      <c r="L49" s="37"/>
    </row>
    <row r="50" spans="1:12" ht="12.75">
      <c r="A50" s="141" t="s">
        <v>160</v>
      </c>
      <c r="B50" s="176">
        <v>20</v>
      </c>
      <c r="C50" s="185">
        <f t="shared" si="0"/>
        <v>24.39024390243902</v>
      </c>
      <c r="D50" s="35"/>
      <c r="E50" s="141" t="s">
        <v>160</v>
      </c>
      <c r="F50" s="177">
        <v>24.39024390243902</v>
      </c>
      <c r="G50" s="87">
        <f t="shared" si="1"/>
        <v>20</v>
      </c>
      <c r="H50" s="37"/>
      <c r="I50" s="37"/>
      <c r="J50" s="37"/>
      <c r="K50" s="37"/>
      <c r="L50" s="37"/>
    </row>
    <row r="51" spans="1:12" ht="15">
      <c r="A51" s="141" t="s">
        <v>83</v>
      </c>
      <c r="B51" s="176">
        <v>300</v>
      </c>
      <c r="C51" s="185">
        <f t="shared" si="0"/>
        <v>365.8536585365853</v>
      </c>
      <c r="D51" s="35"/>
      <c r="E51" s="141" t="s">
        <v>83</v>
      </c>
      <c r="F51" s="177">
        <v>365.8536585365853</v>
      </c>
      <c r="G51" s="87">
        <f t="shared" si="1"/>
        <v>300</v>
      </c>
      <c r="H51" s="37"/>
      <c r="I51" s="37"/>
      <c r="J51" s="37"/>
      <c r="K51" s="37"/>
      <c r="L51" s="37"/>
    </row>
    <row r="52" spans="1:12" ht="12.75">
      <c r="A52" s="35"/>
      <c r="B52" s="37"/>
      <c r="C52" s="37"/>
      <c r="D52" s="35"/>
      <c r="E52" s="35"/>
      <c r="F52" s="35"/>
      <c r="G52" s="35"/>
      <c r="H52" s="37"/>
      <c r="I52" s="37"/>
      <c r="J52" s="37"/>
      <c r="K52" s="37"/>
      <c r="L52" s="37"/>
    </row>
    <row r="53" spans="1:12" ht="12.75">
      <c r="A53" s="35"/>
      <c r="B53" s="37"/>
      <c r="C53" s="37"/>
      <c r="D53" s="35"/>
      <c r="E53" s="35"/>
      <c r="F53" s="35"/>
      <c r="G53" s="35"/>
      <c r="H53" s="37"/>
      <c r="I53" s="37"/>
      <c r="J53" s="37"/>
      <c r="K53" s="37"/>
      <c r="L53" s="37"/>
    </row>
    <row r="54" spans="1:12" ht="15">
      <c r="A54" s="139" t="s">
        <v>70</v>
      </c>
      <c r="B54" s="93" t="s">
        <v>13</v>
      </c>
      <c r="C54" s="94" t="s">
        <v>6</v>
      </c>
      <c r="D54" s="35"/>
      <c r="E54" s="139" t="s">
        <v>70</v>
      </c>
      <c r="F54" s="93" t="s">
        <v>13</v>
      </c>
      <c r="G54" s="94" t="s">
        <v>6</v>
      </c>
      <c r="H54" s="37"/>
      <c r="I54" s="37"/>
      <c r="J54" s="37"/>
      <c r="K54" s="37"/>
      <c r="L54" s="37"/>
    </row>
    <row r="55" spans="1:12" ht="12.75">
      <c r="A55" s="140" t="s">
        <v>84</v>
      </c>
      <c r="B55" s="78" t="s">
        <v>176</v>
      </c>
      <c r="C55" s="89" t="s">
        <v>177</v>
      </c>
      <c r="D55" s="35"/>
      <c r="E55" s="140" t="s">
        <v>84</v>
      </c>
      <c r="F55" s="78" t="s">
        <v>177</v>
      </c>
      <c r="G55" s="89" t="s">
        <v>176</v>
      </c>
      <c r="H55" s="37"/>
      <c r="I55" s="37"/>
      <c r="J55" s="37"/>
      <c r="K55" s="37"/>
      <c r="L55" s="37"/>
    </row>
    <row r="56" spans="1:12" ht="12.75">
      <c r="A56" s="141" t="s">
        <v>165</v>
      </c>
      <c r="B56" s="176">
        <v>62</v>
      </c>
      <c r="C56" s="87">
        <f>B56/(1-$B$33/100)</f>
        <v>75.60975609756098</v>
      </c>
      <c r="D56" s="35"/>
      <c r="E56" s="141" t="s">
        <v>165</v>
      </c>
      <c r="F56" s="177">
        <v>75.60975609756098</v>
      </c>
      <c r="G56" s="87">
        <f>F56*(1-$B$33/100)</f>
        <v>62.00000000000001</v>
      </c>
      <c r="H56" s="37"/>
      <c r="I56" s="37"/>
      <c r="J56" s="37"/>
      <c r="K56" s="37"/>
      <c r="L56" s="37"/>
    </row>
    <row r="57" spans="1:12" ht="15">
      <c r="A57" s="141" t="s">
        <v>72</v>
      </c>
      <c r="B57" s="176">
        <v>21</v>
      </c>
      <c r="C57" s="87">
        <f aca="true" t="shared" si="2" ref="C57:C68">B57/(1-$B$33/100)</f>
        <v>25.609756097560975</v>
      </c>
      <c r="D57" s="35"/>
      <c r="E57" s="141" t="s">
        <v>72</v>
      </c>
      <c r="F57" s="177">
        <v>25.609756097560975</v>
      </c>
      <c r="G57" s="87">
        <f aca="true" t="shared" si="3" ref="G57:G68">F57*(1-$B$33/100)</f>
        <v>21</v>
      </c>
      <c r="H57" s="37"/>
      <c r="I57" s="37"/>
      <c r="J57" s="37"/>
      <c r="K57" s="37"/>
      <c r="L57" s="37"/>
    </row>
    <row r="58" spans="1:12" ht="15">
      <c r="A58" s="141" t="s">
        <v>167</v>
      </c>
      <c r="B58" s="176">
        <v>83</v>
      </c>
      <c r="C58" s="87">
        <f t="shared" si="2"/>
        <v>101.21951219512195</v>
      </c>
      <c r="D58" s="35"/>
      <c r="E58" s="141" t="s">
        <v>167</v>
      </c>
      <c r="F58" s="177">
        <v>101.21951219512195</v>
      </c>
      <c r="G58" s="87">
        <f t="shared" si="3"/>
        <v>83</v>
      </c>
      <c r="H58" s="37"/>
      <c r="I58" s="37"/>
      <c r="J58" s="37"/>
      <c r="K58" s="37"/>
      <c r="L58" s="37"/>
    </row>
    <row r="59" spans="1:12" ht="15">
      <c r="A59" s="141" t="s">
        <v>81</v>
      </c>
      <c r="B59" s="176">
        <v>20</v>
      </c>
      <c r="C59" s="87">
        <f t="shared" si="2"/>
        <v>24.39024390243902</v>
      </c>
      <c r="D59" s="35"/>
      <c r="E59" s="141" t="s">
        <v>81</v>
      </c>
      <c r="F59" s="177">
        <v>24.39024390243902</v>
      </c>
      <c r="G59" s="87">
        <f t="shared" si="3"/>
        <v>20</v>
      </c>
      <c r="H59" s="37"/>
      <c r="I59" s="37"/>
      <c r="J59" s="37"/>
      <c r="K59" s="37"/>
      <c r="L59" s="37"/>
    </row>
    <row r="60" spans="1:12" ht="15">
      <c r="A60" s="141" t="s">
        <v>82</v>
      </c>
      <c r="B60" s="176">
        <v>23</v>
      </c>
      <c r="C60" s="87">
        <f t="shared" si="2"/>
        <v>28.048780487804876</v>
      </c>
      <c r="D60" s="35"/>
      <c r="E60" s="141" t="s">
        <v>82</v>
      </c>
      <c r="F60" s="177">
        <v>28.048780487804876</v>
      </c>
      <c r="G60" s="87">
        <f t="shared" si="3"/>
        <v>23</v>
      </c>
      <c r="H60" s="37"/>
      <c r="I60" s="37"/>
      <c r="J60" s="37"/>
      <c r="K60" s="37"/>
      <c r="L60" s="37"/>
    </row>
    <row r="61" spans="1:12" ht="15">
      <c r="A61" s="141" t="s">
        <v>73</v>
      </c>
      <c r="B61" s="176">
        <v>20</v>
      </c>
      <c r="C61" s="87">
        <f t="shared" si="2"/>
        <v>24.39024390243902</v>
      </c>
      <c r="D61" s="35"/>
      <c r="E61" s="141" t="s">
        <v>73</v>
      </c>
      <c r="F61" s="177">
        <v>24.39024390243902</v>
      </c>
      <c r="G61" s="87">
        <f t="shared" si="3"/>
        <v>20</v>
      </c>
      <c r="H61" s="37"/>
      <c r="I61" s="37"/>
      <c r="J61" s="37"/>
      <c r="K61" s="37"/>
      <c r="L61" s="37"/>
    </row>
    <row r="62" spans="1:12" ht="12.75">
      <c r="A62" s="141" t="s">
        <v>71</v>
      </c>
      <c r="B62" s="176">
        <v>13</v>
      </c>
      <c r="C62" s="87">
        <f t="shared" si="2"/>
        <v>15.853658536585364</v>
      </c>
      <c r="D62" s="35"/>
      <c r="E62" s="141" t="s">
        <v>71</v>
      </c>
      <c r="F62" s="177">
        <v>16</v>
      </c>
      <c r="G62" s="87">
        <f t="shared" si="3"/>
        <v>13.120000000000001</v>
      </c>
      <c r="H62" s="37"/>
      <c r="I62" s="37"/>
      <c r="J62" s="37"/>
      <c r="K62" s="37"/>
      <c r="L62" s="37"/>
    </row>
    <row r="63" spans="1:12" ht="15">
      <c r="A63" s="141" t="s">
        <v>78</v>
      </c>
      <c r="B63" s="176">
        <v>20</v>
      </c>
      <c r="C63" s="87">
        <f t="shared" si="2"/>
        <v>24.39024390243902</v>
      </c>
      <c r="D63" s="35"/>
      <c r="E63" s="141" t="s">
        <v>78</v>
      </c>
      <c r="F63" s="177">
        <v>24.39024390243902</v>
      </c>
      <c r="G63" s="87">
        <f t="shared" si="3"/>
        <v>20</v>
      </c>
      <c r="H63" s="37"/>
      <c r="I63" s="37"/>
      <c r="J63" s="37"/>
      <c r="K63" s="37"/>
      <c r="L63" s="37"/>
    </row>
    <row r="64" spans="1:12" ht="15">
      <c r="A64" s="141" t="s">
        <v>74</v>
      </c>
      <c r="B64" s="176">
        <v>57</v>
      </c>
      <c r="C64" s="87">
        <f t="shared" si="2"/>
        <v>69.51219512195121</v>
      </c>
      <c r="D64" s="35"/>
      <c r="E64" s="141" t="s">
        <v>74</v>
      </c>
      <c r="F64" s="177">
        <v>69.51219512195121</v>
      </c>
      <c r="G64" s="87">
        <f t="shared" si="3"/>
        <v>56.99999999999999</v>
      </c>
      <c r="H64" s="37"/>
      <c r="I64" s="37"/>
      <c r="J64" s="37"/>
      <c r="K64" s="37"/>
      <c r="L64" s="37"/>
    </row>
    <row r="65" spans="1:12" ht="15">
      <c r="A65" s="141" t="s">
        <v>76</v>
      </c>
      <c r="B65" s="176">
        <v>1000</v>
      </c>
      <c r="C65" s="87">
        <f t="shared" si="2"/>
        <v>1219.5121951219512</v>
      </c>
      <c r="D65" s="35"/>
      <c r="E65" s="141" t="s">
        <v>76</v>
      </c>
      <c r="F65" s="177">
        <v>1219.5121951219512</v>
      </c>
      <c r="G65" s="87">
        <f t="shared" si="3"/>
        <v>1000.0000000000001</v>
      </c>
      <c r="H65" s="37"/>
      <c r="I65" s="37"/>
      <c r="J65" s="37"/>
      <c r="K65" s="37"/>
      <c r="L65" s="37"/>
    </row>
    <row r="66" spans="1:12" ht="12.75">
      <c r="A66" s="141" t="s">
        <v>77</v>
      </c>
      <c r="B66" s="177">
        <v>16</v>
      </c>
      <c r="C66" s="87">
        <f t="shared" si="2"/>
        <v>19.51219512195122</v>
      </c>
      <c r="D66" s="35"/>
      <c r="E66" s="141" t="s">
        <v>77</v>
      </c>
      <c r="F66" s="177">
        <v>19.51219512195122</v>
      </c>
      <c r="G66" s="87">
        <f t="shared" si="3"/>
        <v>16</v>
      </c>
      <c r="H66" s="37"/>
      <c r="I66" s="37"/>
      <c r="J66" s="37"/>
      <c r="K66" s="37"/>
      <c r="L66" s="37"/>
    </row>
    <row r="67" spans="1:12" ht="12.75">
      <c r="A67" s="141" t="s">
        <v>160</v>
      </c>
      <c r="B67" s="177">
        <v>18</v>
      </c>
      <c r="C67" s="87">
        <f t="shared" si="2"/>
        <v>21.95121951219512</v>
      </c>
      <c r="D67" s="35"/>
      <c r="E67" s="141" t="s">
        <v>160</v>
      </c>
      <c r="F67" s="177">
        <v>21.95121951219512</v>
      </c>
      <c r="G67" s="87">
        <f t="shared" si="3"/>
        <v>18</v>
      </c>
      <c r="H67" s="37"/>
      <c r="I67" s="37"/>
      <c r="J67" s="37"/>
      <c r="K67" s="37"/>
      <c r="L67" s="37"/>
    </row>
    <row r="68" spans="1:12" ht="15">
      <c r="A68" s="141" t="s">
        <v>83</v>
      </c>
      <c r="B68" s="176">
        <v>241</v>
      </c>
      <c r="C68" s="87">
        <f t="shared" si="2"/>
        <v>293.9024390243902</v>
      </c>
      <c r="D68" s="35"/>
      <c r="E68" s="141" t="s">
        <v>83</v>
      </c>
      <c r="F68" s="177">
        <v>293.9024390243902</v>
      </c>
      <c r="G68" s="87">
        <f t="shared" si="3"/>
        <v>241</v>
      </c>
      <c r="H68" s="37"/>
      <c r="I68" s="37"/>
      <c r="J68" s="37"/>
      <c r="K68" s="37"/>
      <c r="L68" s="37"/>
    </row>
    <row r="69" spans="1:12" ht="15">
      <c r="A69" s="35" t="s">
        <v>166</v>
      </c>
      <c r="B69" s="37"/>
      <c r="C69" s="37"/>
      <c r="D69" s="35"/>
      <c r="E69" s="35" t="s">
        <v>166</v>
      </c>
      <c r="F69" s="35"/>
      <c r="G69" s="35"/>
      <c r="H69" s="37"/>
      <c r="I69" s="37"/>
      <c r="J69" s="37"/>
      <c r="K69" s="37"/>
      <c r="L69" s="37"/>
    </row>
    <row r="70" spans="1:12" ht="12.75">
      <c r="A70" s="35"/>
      <c r="B70" s="37"/>
      <c r="C70" s="37"/>
      <c r="D70" s="35"/>
      <c r="E70" s="35"/>
      <c r="F70" s="35"/>
      <c r="G70" s="35"/>
      <c r="H70" s="37"/>
      <c r="I70" s="37"/>
      <c r="J70" s="37"/>
      <c r="K70" s="37"/>
      <c r="L70" s="37"/>
    </row>
    <row r="71" spans="1:12" ht="12.75">
      <c r="A71" s="37"/>
      <c r="B71" s="37"/>
      <c r="C71" s="37"/>
      <c r="D71" s="37"/>
      <c r="E71" s="37"/>
      <c r="F71" s="37"/>
      <c r="G71" s="37"/>
      <c r="H71" s="37"/>
      <c r="I71" s="37"/>
      <c r="J71" s="37"/>
      <c r="K71" s="37"/>
      <c r="L71" s="37"/>
    </row>
    <row r="72" spans="1:12" ht="15.75">
      <c r="A72" s="128" t="s">
        <v>207</v>
      </c>
      <c r="B72" s="37"/>
      <c r="C72" s="37"/>
      <c r="D72" s="37"/>
      <c r="E72" s="37"/>
      <c r="F72" s="37"/>
      <c r="G72" s="37"/>
      <c r="H72" s="37"/>
      <c r="I72" s="37"/>
      <c r="J72" s="37"/>
      <c r="K72" s="37"/>
      <c r="L72" s="37"/>
    </row>
    <row r="73" spans="1:12" ht="12.75">
      <c r="A73" s="37"/>
      <c r="B73" s="37"/>
      <c r="C73" s="37"/>
      <c r="D73" s="37"/>
      <c r="E73" s="37"/>
      <c r="F73" s="37"/>
      <c r="G73" s="37"/>
      <c r="H73" s="37"/>
      <c r="I73" s="37"/>
      <c r="J73" s="37"/>
      <c r="K73" s="37"/>
      <c r="L73" s="37"/>
    </row>
    <row r="74" spans="1:12" ht="15.75">
      <c r="A74" s="40" t="s">
        <v>202</v>
      </c>
      <c r="B74" s="37"/>
      <c r="C74" s="37"/>
      <c r="D74" s="35"/>
      <c r="E74" s="35"/>
      <c r="F74" s="35"/>
      <c r="G74" s="35"/>
      <c r="H74" s="37"/>
      <c r="I74" s="37"/>
      <c r="J74" s="37"/>
      <c r="K74" s="37"/>
      <c r="L74" s="37"/>
    </row>
    <row r="75" spans="1:12" ht="15.75">
      <c r="A75" s="96" t="s">
        <v>203</v>
      </c>
      <c r="B75" s="92"/>
      <c r="C75" s="92"/>
      <c r="D75" s="35"/>
      <c r="E75" s="35"/>
      <c r="F75" s="35"/>
      <c r="G75" s="35"/>
      <c r="H75" s="37"/>
      <c r="I75" s="37"/>
      <c r="J75" s="37"/>
      <c r="K75" s="37"/>
      <c r="L75" s="37"/>
    </row>
    <row r="76" spans="1:12" ht="12.75">
      <c r="A76" s="92"/>
      <c r="B76" s="92"/>
      <c r="C76" s="92"/>
      <c r="D76" s="35"/>
      <c r="E76" s="35"/>
      <c r="F76" s="35"/>
      <c r="G76" s="35"/>
      <c r="H76" s="37"/>
      <c r="I76" s="37"/>
      <c r="J76" s="37"/>
      <c r="K76" s="37"/>
      <c r="L76" s="37"/>
    </row>
    <row r="77" spans="1:12" ht="12.75">
      <c r="A77" s="92"/>
      <c r="B77" s="92"/>
      <c r="C77" s="92"/>
      <c r="D77" s="35"/>
      <c r="E77" s="35"/>
      <c r="F77" s="35"/>
      <c r="G77" s="35"/>
      <c r="H77" s="37"/>
      <c r="I77" s="37"/>
      <c r="J77" s="37"/>
      <c r="K77" s="37"/>
      <c r="L77" s="37"/>
    </row>
    <row r="78" spans="1:12" ht="15">
      <c r="A78" s="98" t="s">
        <v>13</v>
      </c>
      <c r="B78" s="95"/>
      <c r="C78" s="81"/>
      <c r="D78" s="35"/>
      <c r="E78" s="98" t="s">
        <v>13</v>
      </c>
      <c r="F78" s="95"/>
      <c r="G78" s="76"/>
      <c r="H78" s="70"/>
      <c r="I78" s="37"/>
      <c r="J78" s="37"/>
      <c r="K78" s="37"/>
      <c r="L78" s="37"/>
    </row>
    <row r="79" spans="1:12" ht="15">
      <c r="A79" s="97" t="s">
        <v>168</v>
      </c>
      <c r="B79" s="175">
        <v>0.05</v>
      </c>
      <c r="C79" s="81"/>
      <c r="D79" s="35"/>
      <c r="E79" s="97" t="s">
        <v>168</v>
      </c>
      <c r="F79" s="175">
        <v>0.05</v>
      </c>
      <c r="G79" s="81"/>
      <c r="H79" s="70"/>
      <c r="I79" s="37"/>
      <c r="J79" s="37"/>
      <c r="K79" s="37"/>
      <c r="L79" s="37"/>
    </row>
    <row r="80" spans="1:12" ht="15">
      <c r="A80" s="97" t="s">
        <v>169</v>
      </c>
      <c r="B80" s="175">
        <v>0.11</v>
      </c>
      <c r="C80" s="81"/>
      <c r="D80" s="35"/>
      <c r="E80" s="97" t="s">
        <v>169</v>
      </c>
      <c r="F80" s="175">
        <v>0.11</v>
      </c>
      <c r="G80" s="81"/>
      <c r="H80" s="70"/>
      <c r="I80" s="37"/>
      <c r="J80" s="37"/>
      <c r="K80" s="37"/>
      <c r="L80" s="37"/>
    </row>
    <row r="81" spans="1:12" ht="12.75">
      <c r="A81" s="81"/>
      <c r="B81" s="81"/>
      <c r="C81" s="81"/>
      <c r="D81" s="76"/>
      <c r="E81" s="81"/>
      <c r="F81" s="81"/>
      <c r="G81" s="81"/>
      <c r="H81" s="70"/>
      <c r="I81" s="37"/>
      <c r="J81" s="37"/>
      <c r="K81" s="37"/>
      <c r="L81" s="37"/>
    </row>
    <row r="82" spans="1:12" ht="15">
      <c r="A82" s="139" t="s">
        <v>70</v>
      </c>
      <c r="B82" s="93" t="s">
        <v>13</v>
      </c>
      <c r="C82" s="94" t="s">
        <v>6</v>
      </c>
      <c r="D82" s="35"/>
      <c r="E82" s="139" t="s">
        <v>70</v>
      </c>
      <c r="F82" s="93" t="s">
        <v>13</v>
      </c>
      <c r="G82" s="94" t="s">
        <v>6</v>
      </c>
      <c r="H82" s="37"/>
      <c r="I82" s="37"/>
      <c r="J82" s="37"/>
      <c r="K82" s="37"/>
      <c r="L82" s="37"/>
    </row>
    <row r="83" spans="1:12" ht="27.75">
      <c r="A83" s="162" t="s">
        <v>84</v>
      </c>
      <c r="B83" s="163" t="s">
        <v>156</v>
      </c>
      <c r="C83" s="164" t="s">
        <v>157</v>
      </c>
      <c r="D83" s="35"/>
      <c r="E83" s="160" t="s">
        <v>84</v>
      </c>
      <c r="F83" s="159" t="s">
        <v>158</v>
      </c>
      <c r="G83" s="161" t="s">
        <v>159</v>
      </c>
      <c r="H83" s="37"/>
      <c r="I83" s="37"/>
      <c r="J83" s="37"/>
      <c r="K83" s="37"/>
      <c r="L83" s="37"/>
    </row>
    <row r="84" spans="1:12" ht="12.75">
      <c r="A84" s="141" t="s">
        <v>225</v>
      </c>
      <c r="B84" s="176">
        <v>12</v>
      </c>
      <c r="C84" s="87">
        <f aca="true" t="shared" si="4" ref="C84:C96">B84*((21%-$B$80)/(21%-$B$79))</f>
        <v>7.5</v>
      </c>
      <c r="D84" s="35"/>
      <c r="E84" s="141" t="s">
        <v>225</v>
      </c>
      <c r="F84" s="176">
        <v>20</v>
      </c>
      <c r="G84" s="87">
        <f>F84*((21%-$F$80)/(21%-$F$79))</f>
        <v>12.5</v>
      </c>
      <c r="H84" s="37"/>
      <c r="I84" s="37"/>
      <c r="J84" s="37"/>
      <c r="K84" s="37"/>
      <c r="L84" s="37"/>
    </row>
    <row r="85" spans="1:12" ht="15">
      <c r="A85" s="141" t="s">
        <v>72</v>
      </c>
      <c r="B85" s="176">
        <v>30</v>
      </c>
      <c r="C85" s="87">
        <f t="shared" si="4"/>
        <v>18.75</v>
      </c>
      <c r="D85" s="35"/>
      <c r="E85" s="141" t="s">
        <v>72</v>
      </c>
      <c r="F85" s="176">
        <v>30</v>
      </c>
      <c r="G85" s="87">
        <f aca="true" t="shared" si="5" ref="G85:G96">F85*((21%-$B$80)/(21%-$B$79))</f>
        <v>18.75</v>
      </c>
      <c r="H85" s="37"/>
      <c r="I85" s="37"/>
      <c r="J85" s="37"/>
      <c r="K85" s="37"/>
      <c r="L85" s="37"/>
    </row>
    <row r="86" spans="1:12" ht="15">
      <c r="A86" s="141" t="s">
        <v>167</v>
      </c>
      <c r="B86" s="176">
        <v>42</v>
      </c>
      <c r="C86" s="87">
        <f t="shared" si="4"/>
        <v>26.25</v>
      </c>
      <c r="D86" s="35"/>
      <c r="E86" s="141" t="s">
        <v>167</v>
      </c>
      <c r="F86" s="176">
        <v>50</v>
      </c>
      <c r="G86" s="87">
        <f t="shared" si="5"/>
        <v>31.25</v>
      </c>
      <c r="H86" s="37"/>
      <c r="I86" s="37"/>
      <c r="J86" s="37"/>
      <c r="K86" s="37"/>
      <c r="L86" s="37"/>
    </row>
    <row r="87" spans="1:12" ht="15">
      <c r="A87" s="141" t="s">
        <v>81</v>
      </c>
      <c r="B87" s="176">
        <v>16</v>
      </c>
      <c r="C87" s="87">
        <f t="shared" si="4"/>
        <v>10</v>
      </c>
      <c r="D87" s="35"/>
      <c r="E87" s="141" t="s">
        <v>81</v>
      </c>
      <c r="F87" s="176">
        <v>15</v>
      </c>
      <c r="G87" s="87">
        <f t="shared" si="5"/>
        <v>9.375</v>
      </c>
      <c r="H87" s="37"/>
      <c r="I87" s="37"/>
      <c r="J87" s="37"/>
      <c r="K87" s="37"/>
      <c r="L87" s="37"/>
    </row>
    <row r="88" spans="1:12" ht="15">
      <c r="A88" s="141" t="s">
        <v>82</v>
      </c>
      <c r="B88" s="176">
        <v>18</v>
      </c>
      <c r="C88" s="87">
        <f t="shared" si="4"/>
        <v>11.25</v>
      </c>
      <c r="D88" s="35"/>
      <c r="E88" s="141" t="s">
        <v>82</v>
      </c>
      <c r="F88" s="176">
        <v>2</v>
      </c>
      <c r="G88" s="87">
        <f t="shared" si="5"/>
        <v>1.25</v>
      </c>
      <c r="H88" s="37"/>
      <c r="I88" s="37"/>
      <c r="J88" s="37"/>
      <c r="K88" s="37"/>
      <c r="L88" s="37"/>
    </row>
    <row r="89" spans="1:12" ht="15">
      <c r="A89" s="141" t="s">
        <v>73</v>
      </c>
      <c r="B89" s="176">
        <v>20</v>
      </c>
      <c r="C89" s="87">
        <f t="shared" si="4"/>
        <v>12.5</v>
      </c>
      <c r="D89" s="37"/>
      <c r="E89" s="141" t="s">
        <v>73</v>
      </c>
      <c r="F89" s="176">
        <v>17</v>
      </c>
      <c r="G89" s="87">
        <f t="shared" si="5"/>
        <v>10.625</v>
      </c>
      <c r="H89" s="37"/>
      <c r="I89" s="37"/>
      <c r="J89" s="37"/>
      <c r="K89" s="37"/>
      <c r="L89" s="37"/>
    </row>
    <row r="90" spans="1:12" ht="12.75">
      <c r="A90" s="141" t="s">
        <v>71</v>
      </c>
      <c r="B90" s="176">
        <v>60</v>
      </c>
      <c r="C90" s="87">
        <f t="shared" si="4"/>
        <v>37.5</v>
      </c>
      <c r="D90" s="37"/>
      <c r="E90" s="141" t="s">
        <v>71</v>
      </c>
      <c r="F90" s="176">
        <v>20</v>
      </c>
      <c r="G90" s="87">
        <f t="shared" si="5"/>
        <v>12.5</v>
      </c>
      <c r="H90" s="37"/>
      <c r="I90" s="37"/>
      <c r="J90" s="37"/>
      <c r="K90" s="37"/>
      <c r="L90" s="37"/>
    </row>
    <row r="91" spans="1:12" ht="15">
      <c r="A91" s="141" t="s">
        <v>78</v>
      </c>
      <c r="B91" s="176">
        <v>100</v>
      </c>
      <c r="C91" s="87">
        <f t="shared" si="4"/>
        <v>62.5</v>
      </c>
      <c r="D91" s="37"/>
      <c r="E91" s="141" t="s">
        <v>78</v>
      </c>
      <c r="F91" s="176">
        <v>30</v>
      </c>
      <c r="G91" s="87">
        <f t="shared" si="5"/>
        <v>18.75</v>
      </c>
      <c r="H91" s="37"/>
      <c r="I91" s="37"/>
      <c r="J91" s="37"/>
      <c r="K91" s="37"/>
      <c r="L91" s="37"/>
    </row>
    <row r="92" spans="1:12" ht="15">
      <c r="A92" s="141" t="s">
        <v>74</v>
      </c>
      <c r="B92" s="176">
        <v>9</v>
      </c>
      <c r="C92" s="87">
        <f t="shared" si="4"/>
        <v>5.625</v>
      </c>
      <c r="D92" s="37"/>
      <c r="E92" s="141" t="s">
        <v>74</v>
      </c>
      <c r="F92" s="176">
        <v>40</v>
      </c>
      <c r="G92" s="87">
        <f t="shared" si="5"/>
        <v>25</v>
      </c>
      <c r="H92" s="37"/>
      <c r="I92" s="37"/>
      <c r="J92" s="37"/>
      <c r="K92" s="37"/>
      <c r="L92" s="37"/>
    </row>
    <row r="93" spans="1:12" ht="15">
      <c r="A93" s="141" t="s">
        <v>76</v>
      </c>
      <c r="B93" s="176">
        <v>14</v>
      </c>
      <c r="C93" s="87">
        <f t="shared" si="4"/>
        <v>8.75</v>
      </c>
      <c r="D93" s="37"/>
      <c r="E93" s="141" t="s">
        <v>76</v>
      </c>
      <c r="F93" s="176">
        <v>50</v>
      </c>
      <c r="G93" s="87">
        <f t="shared" si="5"/>
        <v>31.25</v>
      </c>
      <c r="H93" s="37"/>
      <c r="I93" s="37"/>
      <c r="J93" s="37"/>
      <c r="K93" s="37"/>
      <c r="L93" s="37"/>
    </row>
    <row r="94" spans="1:12" ht="12.75">
      <c r="A94" s="141" t="s">
        <v>77</v>
      </c>
      <c r="B94" s="176">
        <v>18</v>
      </c>
      <c r="C94" s="87">
        <f t="shared" si="4"/>
        <v>11.25</v>
      </c>
      <c r="D94" s="37"/>
      <c r="E94" s="141" t="s">
        <v>77</v>
      </c>
      <c r="F94" s="176">
        <v>60</v>
      </c>
      <c r="G94" s="87">
        <f t="shared" si="5"/>
        <v>37.5</v>
      </c>
      <c r="H94" s="37"/>
      <c r="I94" s="37"/>
      <c r="J94" s="37"/>
      <c r="K94" s="37"/>
      <c r="L94" s="37"/>
    </row>
    <row r="95" spans="1:12" ht="12.75">
      <c r="A95" s="141" t="s">
        <v>160</v>
      </c>
      <c r="B95" s="176">
        <v>12</v>
      </c>
      <c r="C95" s="87">
        <f t="shared" si="4"/>
        <v>7.5</v>
      </c>
      <c r="D95" s="37"/>
      <c r="E95" s="141" t="s">
        <v>160</v>
      </c>
      <c r="F95" s="176">
        <v>8</v>
      </c>
      <c r="G95" s="87">
        <f t="shared" si="5"/>
        <v>5</v>
      </c>
      <c r="H95" s="37"/>
      <c r="I95" s="37"/>
      <c r="J95" s="37"/>
      <c r="K95" s="37"/>
      <c r="L95" s="37"/>
    </row>
    <row r="96" spans="1:12" ht="15">
      <c r="A96" s="141" t="s">
        <v>83</v>
      </c>
      <c r="B96" s="176">
        <v>1000</v>
      </c>
      <c r="C96" s="87">
        <f t="shared" si="4"/>
        <v>625</v>
      </c>
      <c r="D96" s="37"/>
      <c r="E96" s="141" t="s">
        <v>83</v>
      </c>
      <c r="F96" s="176">
        <v>70</v>
      </c>
      <c r="G96" s="87">
        <f t="shared" si="5"/>
        <v>43.75</v>
      </c>
      <c r="H96" s="37"/>
      <c r="I96" s="37"/>
      <c r="J96" s="37"/>
      <c r="K96" s="37"/>
      <c r="L96" s="37"/>
    </row>
    <row r="97" spans="1:12" ht="12.75">
      <c r="A97" s="35"/>
      <c r="B97" s="37"/>
      <c r="C97" s="37"/>
      <c r="D97" s="37"/>
      <c r="E97" s="35"/>
      <c r="F97" s="37"/>
      <c r="G97" s="37"/>
      <c r="H97" s="37"/>
      <c r="I97" s="37"/>
      <c r="J97" s="37"/>
      <c r="K97" s="37"/>
      <c r="L97" s="37"/>
    </row>
    <row r="98" spans="1:12" ht="12.75">
      <c r="A98" s="35"/>
      <c r="B98" s="37"/>
      <c r="C98" s="37"/>
      <c r="D98" s="37"/>
      <c r="E98" s="35"/>
      <c r="F98" s="37"/>
      <c r="G98" s="37"/>
      <c r="H98" s="37"/>
      <c r="I98" s="37"/>
      <c r="J98" s="37"/>
      <c r="K98" s="37"/>
      <c r="L98" s="37"/>
    </row>
    <row r="99" spans="1:12" ht="12.75">
      <c r="A99" s="37"/>
      <c r="B99" s="37"/>
      <c r="C99" s="37"/>
      <c r="D99" s="37"/>
      <c r="E99" s="37"/>
      <c r="F99" s="37"/>
      <c r="G99" s="37"/>
      <c r="H99" s="37"/>
      <c r="I99" s="37"/>
      <c r="J99" s="37"/>
      <c r="K99" s="37"/>
      <c r="L99" s="37"/>
    </row>
    <row r="100" spans="1:12" ht="15.75">
      <c r="A100" s="128" t="s">
        <v>208</v>
      </c>
      <c r="B100" s="37"/>
      <c r="C100" s="37"/>
      <c r="D100" s="37"/>
      <c r="E100" s="37"/>
      <c r="F100" s="37"/>
      <c r="G100" s="37"/>
      <c r="H100" s="37"/>
      <c r="I100" s="37"/>
      <c r="J100" s="37"/>
      <c r="K100" s="37"/>
      <c r="L100" s="37"/>
    </row>
    <row r="101" spans="1:12" ht="9" customHeight="1">
      <c r="A101" s="37"/>
      <c r="B101" s="37"/>
      <c r="C101" s="37"/>
      <c r="D101" s="37"/>
      <c r="E101" s="37"/>
      <c r="F101" s="37"/>
      <c r="G101" s="37"/>
      <c r="H101" s="37"/>
      <c r="I101" s="37"/>
      <c r="J101" s="37"/>
      <c r="K101" s="37"/>
      <c r="L101" s="37"/>
    </row>
    <row r="102" spans="1:12" ht="12.75">
      <c r="A102" s="125" t="s">
        <v>163</v>
      </c>
      <c r="B102" s="37"/>
      <c r="C102" s="37"/>
      <c r="D102" s="37"/>
      <c r="E102" s="37"/>
      <c r="F102" s="37"/>
      <c r="G102" s="37"/>
      <c r="H102" s="37"/>
      <c r="I102" s="37"/>
      <c r="J102" s="37"/>
      <c r="K102" s="37"/>
      <c r="L102" s="37"/>
    </row>
    <row r="103" spans="1:12" ht="7.5" customHeight="1">
      <c r="A103" s="125"/>
      <c r="B103" s="37"/>
      <c r="C103" s="37"/>
      <c r="D103" s="37"/>
      <c r="E103" s="37"/>
      <c r="F103" s="37"/>
      <c r="G103" s="37"/>
      <c r="H103" s="37"/>
      <c r="I103" s="37"/>
      <c r="J103" s="37"/>
      <c r="K103" s="37"/>
      <c r="L103" s="37"/>
    </row>
    <row r="104" spans="1:12" ht="12.75">
      <c r="A104" s="166" t="s">
        <v>276</v>
      </c>
      <c r="B104" s="37"/>
      <c r="C104" s="37"/>
      <c r="D104" s="37"/>
      <c r="E104" s="37"/>
      <c r="F104" s="37"/>
      <c r="G104" s="37"/>
      <c r="H104" s="37"/>
      <c r="I104" s="37"/>
      <c r="J104" s="37"/>
      <c r="K104" s="37"/>
      <c r="L104" s="37"/>
    </row>
    <row r="105" spans="1:12" ht="15">
      <c r="A105" s="168" t="s">
        <v>278</v>
      </c>
      <c r="B105" s="37"/>
      <c r="C105" s="37"/>
      <c r="D105" s="37"/>
      <c r="E105" s="37"/>
      <c r="F105" s="37"/>
      <c r="G105" s="37"/>
      <c r="H105" s="37"/>
      <c r="I105" s="37"/>
      <c r="J105" s="37"/>
      <c r="K105" s="37"/>
      <c r="L105" s="37"/>
    </row>
    <row r="106" spans="1:12" ht="12.75">
      <c r="A106" s="167"/>
      <c r="B106" s="37"/>
      <c r="C106" s="37"/>
      <c r="D106" s="37"/>
      <c r="E106" s="37"/>
      <c r="F106" s="37"/>
      <c r="G106" s="37"/>
      <c r="H106" s="37"/>
      <c r="I106" s="37"/>
      <c r="J106" s="37"/>
      <c r="K106" s="37"/>
      <c r="L106" s="37"/>
    </row>
    <row r="107" spans="1:12" ht="12.75">
      <c r="A107" s="166" t="s">
        <v>277</v>
      </c>
      <c r="B107" s="37"/>
      <c r="C107" s="37"/>
      <c r="D107" s="37"/>
      <c r="E107" s="37"/>
      <c r="F107" s="37"/>
      <c r="G107" s="37"/>
      <c r="H107" s="37"/>
      <c r="I107" s="37"/>
      <c r="J107" s="37"/>
      <c r="K107" s="37"/>
      <c r="L107" s="37"/>
    </row>
    <row r="108" spans="1:12" ht="12.75">
      <c r="A108" s="167" t="s">
        <v>124</v>
      </c>
      <c r="B108" s="37"/>
      <c r="C108" s="37"/>
      <c r="D108" s="37"/>
      <c r="E108" s="37"/>
      <c r="F108" s="37"/>
      <c r="G108" s="37"/>
      <c r="H108" s="37"/>
      <c r="I108" s="37"/>
      <c r="J108" s="37"/>
      <c r="K108" s="37"/>
      <c r="L108" s="37"/>
    </row>
    <row r="109" spans="1:12" ht="12.75">
      <c r="A109" s="167"/>
      <c r="B109" s="37"/>
      <c r="C109" s="37"/>
      <c r="D109" s="37"/>
      <c r="E109" s="37"/>
      <c r="F109" s="37"/>
      <c r="G109" s="37"/>
      <c r="H109" s="37"/>
      <c r="I109" s="37"/>
      <c r="J109" s="37"/>
      <c r="K109" s="37"/>
      <c r="L109" s="37"/>
    </row>
    <row r="110" spans="1:12" ht="15.75">
      <c r="A110" s="222" t="s">
        <v>204</v>
      </c>
      <c r="B110" s="37"/>
      <c r="C110" s="37"/>
      <c r="D110" s="37"/>
      <c r="E110" s="37"/>
      <c r="F110" s="37"/>
      <c r="G110" s="37"/>
      <c r="H110" s="37"/>
      <c r="I110" s="37"/>
      <c r="J110" s="37"/>
      <c r="K110" s="37"/>
      <c r="L110" s="37"/>
    </row>
    <row r="111" spans="1:12" ht="9.75" customHeight="1">
      <c r="A111" s="165"/>
      <c r="B111" s="37"/>
      <c r="C111" s="37"/>
      <c r="D111" s="37"/>
      <c r="E111" s="37"/>
      <c r="F111" s="37"/>
      <c r="G111" s="37"/>
      <c r="H111" s="37"/>
      <c r="I111" s="37"/>
      <c r="J111" s="37"/>
      <c r="K111" s="37"/>
      <c r="L111" s="37"/>
    </row>
    <row r="112" spans="1:12" ht="15">
      <c r="A112" s="194" t="s">
        <v>152</v>
      </c>
      <c r="B112" s="219"/>
      <c r="C112" s="215"/>
      <c r="D112" s="37"/>
      <c r="E112" s="37"/>
      <c r="F112" s="37"/>
      <c r="G112" s="37"/>
      <c r="H112" s="37"/>
      <c r="I112" s="37"/>
      <c r="J112" s="37"/>
      <c r="K112" s="37"/>
      <c r="L112" s="37"/>
    </row>
    <row r="113" spans="1:12" ht="12.75">
      <c r="A113" s="210" t="s">
        <v>161</v>
      </c>
      <c r="B113" s="220">
        <f>'Luft- och rökgas'!B81*100</f>
        <v>6</v>
      </c>
      <c r="C113" s="211" t="s">
        <v>162</v>
      </c>
      <c r="D113" s="37"/>
      <c r="E113" s="37"/>
      <c r="F113" s="37"/>
      <c r="G113" s="37"/>
      <c r="H113" s="37"/>
      <c r="I113" s="37"/>
      <c r="J113" s="37"/>
      <c r="K113" s="37"/>
      <c r="L113" s="37"/>
    </row>
    <row r="114" spans="1:12" ht="15">
      <c r="A114" s="210" t="s">
        <v>125</v>
      </c>
      <c r="B114" s="221">
        <f>'Luft- och rökgas'!B63</f>
        <v>7.167597517942282</v>
      </c>
      <c r="C114" s="211" t="s">
        <v>98</v>
      </c>
      <c r="D114" s="37"/>
      <c r="E114" s="37"/>
      <c r="F114" s="37"/>
      <c r="G114" s="37"/>
      <c r="H114" s="37"/>
      <c r="I114" s="37"/>
      <c r="J114" s="37"/>
      <c r="K114" s="37"/>
      <c r="L114" s="37"/>
    </row>
    <row r="115" spans="1:12" ht="12.75">
      <c r="A115" s="208" t="s">
        <v>124</v>
      </c>
      <c r="B115" s="203">
        <f>'Luft- och rökgas'!B150</f>
        <v>9.5</v>
      </c>
      <c r="C115" s="213" t="s">
        <v>164</v>
      </c>
      <c r="D115" s="37"/>
      <c r="E115" s="37"/>
      <c r="F115" s="37"/>
      <c r="G115" s="37"/>
      <c r="H115" s="37"/>
      <c r="I115" s="37"/>
      <c r="J115" s="37"/>
      <c r="K115" s="37"/>
      <c r="L115" s="37"/>
    </row>
    <row r="116" spans="1:12" ht="12.75">
      <c r="A116" s="35"/>
      <c r="B116" s="35"/>
      <c r="C116" s="35"/>
      <c r="D116" s="37"/>
      <c r="E116" s="37"/>
      <c r="F116" s="37"/>
      <c r="G116" s="37"/>
      <c r="H116" s="37"/>
      <c r="I116" s="37"/>
      <c r="J116" s="37"/>
      <c r="K116" s="37"/>
      <c r="L116" s="37"/>
    </row>
    <row r="117" spans="1:12" ht="15">
      <c r="A117" s="139" t="s">
        <v>70</v>
      </c>
      <c r="B117" s="93" t="s">
        <v>13</v>
      </c>
      <c r="C117" s="94" t="s">
        <v>6</v>
      </c>
      <c r="D117" s="37"/>
      <c r="E117" s="37"/>
      <c r="F117" s="37"/>
      <c r="G117" s="37"/>
      <c r="H117" s="37"/>
      <c r="I117" s="37"/>
      <c r="J117" s="37"/>
      <c r="K117" s="37"/>
      <c r="L117" s="37"/>
    </row>
    <row r="118" spans="1:12" ht="15">
      <c r="A118" s="140" t="s">
        <v>84</v>
      </c>
      <c r="B118" s="78" t="s">
        <v>147</v>
      </c>
      <c r="C118" s="89" t="s">
        <v>100</v>
      </c>
      <c r="D118" s="37"/>
      <c r="E118" s="37"/>
      <c r="F118" s="37"/>
      <c r="G118" s="37"/>
      <c r="H118" s="37"/>
      <c r="I118" s="37"/>
      <c r="J118" s="37"/>
      <c r="K118" s="37"/>
      <c r="L118" s="37"/>
    </row>
    <row r="119" spans="1:12" ht="12.75">
      <c r="A119" s="141" t="s">
        <v>165</v>
      </c>
      <c r="B119" s="176">
        <v>12</v>
      </c>
      <c r="C119" s="87">
        <f>B119*$B$114/$B$115</f>
        <v>9.053807391084987</v>
      </c>
      <c r="D119" s="37"/>
      <c r="E119" s="37"/>
      <c r="F119" s="37"/>
      <c r="G119" s="37"/>
      <c r="H119" s="37"/>
      <c r="I119" s="37"/>
      <c r="J119" s="37"/>
      <c r="K119" s="37"/>
      <c r="L119" s="37"/>
    </row>
    <row r="120" spans="1:12" ht="15">
      <c r="A120" s="141" t="s">
        <v>72</v>
      </c>
      <c r="B120" s="176">
        <v>30</v>
      </c>
      <c r="C120" s="87">
        <f aca="true" t="shared" si="6" ref="C120:C130">B120*$B$114/$B$115</f>
        <v>22.63451847771247</v>
      </c>
      <c r="D120" s="37"/>
      <c r="E120" s="37"/>
      <c r="F120" s="37"/>
      <c r="G120" s="37"/>
      <c r="H120" s="37"/>
      <c r="I120" s="37"/>
      <c r="J120" s="37"/>
      <c r="K120" s="37"/>
      <c r="L120" s="37"/>
    </row>
    <row r="121" spans="1:12" ht="15">
      <c r="A121" s="141" t="s">
        <v>221</v>
      </c>
      <c r="B121" s="176">
        <v>460</v>
      </c>
      <c r="C121" s="87">
        <f>B121*$B$114/$B$115</f>
        <v>347.06261665825787</v>
      </c>
      <c r="D121" s="37"/>
      <c r="E121" s="37"/>
      <c r="F121" s="37"/>
      <c r="G121" s="37"/>
      <c r="H121" s="37"/>
      <c r="I121" s="70"/>
      <c r="J121" s="37"/>
      <c r="K121" s="37"/>
      <c r="L121" s="37"/>
    </row>
    <row r="122" spans="1:12" ht="15">
      <c r="A122" s="141" t="s">
        <v>81</v>
      </c>
      <c r="B122" s="176">
        <v>16</v>
      </c>
      <c r="C122" s="87">
        <f t="shared" si="6"/>
        <v>12.071743188113317</v>
      </c>
      <c r="D122" s="37"/>
      <c r="E122" s="37"/>
      <c r="F122" s="37"/>
      <c r="G122" s="37"/>
      <c r="H122" s="37"/>
      <c r="I122" s="70"/>
      <c r="J122" s="37"/>
      <c r="K122" s="37"/>
      <c r="L122" s="37"/>
    </row>
    <row r="123" spans="1:12" ht="15">
      <c r="A123" s="141" t="s">
        <v>82</v>
      </c>
      <c r="B123" s="176">
        <v>18</v>
      </c>
      <c r="C123" s="87">
        <f t="shared" si="6"/>
        <v>13.580711086627481</v>
      </c>
      <c r="D123" s="37"/>
      <c r="E123" s="37"/>
      <c r="F123" s="37"/>
      <c r="G123" s="37"/>
      <c r="H123" s="37"/>
      <c r="I123" s="70"/>
      <c r="J123" s="37"/>
      <c r="K123" s="37"/>
      <c r="L123" s="37"/>
    </row>
    <row r="124" spans="1:12" ht="15">
      <c r="A124" s="141" t="s">
        <v>73</v>
      </c>
      <c r="B124" s="176">
        <v>20</v>
      </c>
      <c r="C124" s="87">
        <f t="shared" si="6"/>
        <v>15.089678985141646</v>
      </c>
      <c r="D124" s="37"/>
      <c r="E124" s="37"/>
      <c r="F124" s="37"/>
      <c r="G124" s="37"/>
      <c r="H124" s="37"/>
      <c r="I124" s="70"/>
      <c r="J124" s="37"/>
      <c r="K124" s="37"/>
      <c r="L124" s="37"/>
    </row>
    <row r="125" spans="1:12" ht="12.75">
      <c r="A125" s="141" t="s">
        <v>71</v>
      </c>
      <c r="B125" s="176">
        <v>60</v>
      </c>
      <c r="C125" s="87">
        <f t="shared" si="6"/>
        <v>45.26903695542494</v>
      </c>
      <c r="D125" s="37"/>
      <c r="E125" s="37"/>
      <c r="F125" s="37"/>
      <c r="G125" s="37"/>
      <c r="H125" s="37"/>
      <c r="I125" s="70"/>
      <c r="J125" s="37"/>
      <c r="K125" s="37"/>
      <c r="L125" s="37"/>
    </row>
    <row r="126" spans="1:12" ht="15">
      <c r="A126" s="141" t="s">
        <v>78</v>
      </c>
      <c r="B126" s="176">
        <v>100</v>
      </c>
      <c r="C126" s="87">
        <f t="shared" si="6"/>
        <v>75.44839492570823</v>
      </c>
      <c r="D126" s="37"/>
      <c r="E126" s="37"/>
      <c r="F126" s="37"/>
      <c r="G126" s="37"/>
      <c r="H126" s="37"/>
      <c r="I126" s="70"/>
      <c r="J126" s="37"/>
      <c r="K126" s="37"/>
      <c r="L126" s="37"/>
    </row>
    <row r="127" spans="1:12" ht="15">
      <c r="A127" s="141" t="s">
        <v>74</v>
      </c>
      <c r="B127" s="176">
        <v>9</v>
      </c>
      <c r="C127" s="87">
        <f t="shared" si="6"/>
        <v>6.790355543313741</v>
      </c>
      <c r="D127" s="37"/>
      <c r="E127" s="37"/>
      <c r="F127" s="37"/>
      <c r="G127" s="37"/>
      <c r="H127" s="37"/>
      <c r="I127" s="70"/>
      <c r="J127" s="37"/>
      <c r="K127" s="37"/>
      <c r="L127" s="37"/>
    </row>
    <row r="128" spans="1:12" ht="15">
      <c r="A128" s="141" t="s">
        <v>76</v>
      </c>
      <c r="B128" s="176">
        <v>14</v>
      </c>
      <c r="C128" s="87">
        <f t="shared" si="6"/>
        <v>10.562775289599152</v>
      </c>
      <c r="D128" s="37"/>
      <c r="E128" s="37"/>
      <c r="F128" s="37"/>
      <c r="G128" s="37"/>
      <c r="H128" s="37"/>
      <c r="I128" s="70"/>
      <c r="J128" s="37"/>
      <c r="K128" s="37"/>
      <c r="L128" s="37"/>
    </row>
    <row r="129" spans="1:12" ht="12.75">
      <c r="A129" s="141" t="s">
        <v>77</v>
      </c>
      <c r="B129" s="176">
        <v>18</v>
      </c>
      <c r="C129" s="87">
        <f t="shared" si="6"/>
        <v>13.580711086627481</v>
      </c>
      <c r="D129" s="37"/>
      <c r="E129" s="37"/>
      <c r="F129" s="37"/>
      <c r="G129" s="37"/>
      <c r="H129" s="37"/>
      <c r="I129" s="70"/>
      <c r="J129" s="37"/>
      <c r="K129" s="37"/>
      <c r="L129" s="37"/>
    </row>
    <row r="130" spans="1:12" ht="12.75">
      <c r="A130" s="141" t="s">
        <v>160</v>
      </c>
      <c r="B130" s="176">
        <v>20</v>
      </c>
      <c r="C130" s="87">
        <f t="shared" si="6"/>
        <v>15.089678985141646</v>
      </c>
      <c r="D130" s="37"/>
      <c r="E130" s="37"/>
      <c r="F130" s="37"/>
      <c r="G130" s="37"/>
      <c r="H130" s="37"/>
      <c r="I130" s="70"/>
      <c r="J130" s="37"/>
      <c r="K130" s="37"/>
      <c r="L130" s="37"/>
    </row>
    <row r="131" spans="1:12" ht="15">
      <c r="A131" s="141" t="s">
        <v>83</v>
      </c>
      <c r="B131" s="176">
        <v>1000</v>
      </c>
      <c r="C131" s="87">
        <f>B131*$B$114/$B$115</f>
        <v>754.4839492570824</v>
      </c>
      <c r="D131" s="37"/>
      <c r="E131" s="37"/>
      <c r="F131" s="37"/>
      <c r="G131" s="37"/>
      <c r="H131" s="37"/>
      <c r="I131" s="70"/>
      <c r="J131" s="37"/>
      <c r="K131" s="37"/>
      <c r="L131" s="37"/>
    </row>
    <row r="132" spans="1:12" ht="15.75">
      <c r="A132" s="35" t="s">
        <v>223</v>
      </c>
      <c r="B132" s="37"/>
      <c r="C132" s="37"/>
      <c r="D132" s="37"/>
      <c r="E132" s="37"/>
      <c r="F132" s="37"/>
      <c r="G132" s="37"/>
      <c r="H132" s="37"/>
      <c r="I132" s="70"/>
      <c r="J132" s="37"/>
      <c r="K132" s="37"/>
      <c r="L132" s="37"/>
    </row>
    <row r="133" spans="1:12" ht="12.75">
      <c r="A133" s="81"/>
      <c r="B133" s="79"/>
      <c r="C133" s="80"/>
      <c r="D133" s="76"/>
      <c r="E133" s="81"/>
      <c r="F133" s="76"/>
      <c r="G133" s="76"/>
      <c r="H133" s="70"/>
      <c r="I133" s="70"/>
      <c r="J133" s="37"/>
      <c r="K133" s="37"/>
      <c r="L133" s="37"/>
    </row>
    <row r="134" spans="1:12" ht="12.75">
      <c r="A134" s="81"/>
      <c r="B134" s="79"/>
      <c r="C134" s="80"/>
      <c r="D134" s="76"/>
      <c r="E134" s="81"/>
      <c r="F134" s="76"/>
      <c r="G134" s="76"/>
      <c r="H134" s="70"/>
      <c r="I134" s="70"/>
      <c r="J134" s="37"/>
      <c r="K134" s="37"/>
      <c r="L134" s="37"/>
    </row>
    <row r="135" spans="1:12" ht="12.75">
      <c r="A135" s="37"/>
      <c r="B135" s="37"/>
      <c r="C135" s="37"/>
      <c r="D135" s="37"/>
      <c r="E135" s="37"/>
      <c r="F135" s="37"/>
      <c r="G135" s="37"/>
      <c r="H135" s="37"/>
      <c r="I135" s="37"/>
      <c r="J135" s="37"/>
      <c r="K135" s="37"/>
      <c r="L135" s="37"/>
    </row>
    <row r="136" spans="1:12" ht="12.75">
      <c r="A136" s="37"/>
      <c r="B136" s="37"/>
      <c r="C136" s="37"/>
      <c r="D136" s="37"/>
      <c r="E136" s="37"/>
      <c r="F136" s="37"/>
      <c r="G136" s="37"/>
      <c r="H136" s="37"/>
      <c r="I136" s="37"/>
      <c r="J136" s="37"/>
      <c r="K136" s="37"/>
      <c r="L136" s="37"/>
    </row>
    <row r="137" spans="1:12" ht="12.75">
      <c r="A137" s="37"/>
      <c r="B137" s="37"/>
      <c r="C137" s="37"/>
      <c r="D137" s="37"/>
      <c r="E137" s="37"/>
      <c r="F137" s="37"/>
      <c r="G137" s="37"/>
      <c r="H137" s="37"/>
      <c r="I137" s="37"/>
      <c r="J137" s="37"/>
      <c r="K137" s="37"/>
      <c r="L137" s="37"/>
    </row>
    <row r="138" spans="1:12" ht="12.75">
      <c r="A138" s="37"/>
      <c r="B138" s="37"/>
      <c r="C138" s="37"/>
      <c r="D138" s="37"/>
      <c r="E138" s="37"/>
      <c r="F138" s="37"/>
      <c r="G138" s="37"/>
      <c r="H138" s="37"/>
      <c r="I138" s="37"/>
      <c r="J138" s="37"/>
      <c r="K138" s="37"/>
      <c r="L138" s="37"/>
    </row>
    <row r="139" spans="1:12" ht="12.75">
      <c r="A139" s="37"/>
      <c r="B139" s="37"/>
      <c r="C139" s="37"/>
      <c r="D139" s="37"/>
      <c r="E139" s="37"/>
      <c r="F139" s="37"/>
      <c r="G139" s="37"/>
      <c r="H139" s="37"/>
      <c r="I139" s="37"/>
      <c r="J139" s="37"/>
      <c r="K139" s="37"/>
      <c r="L139" s="37"/>
    </row>
    <row r="140" spans="1:12" ht="12.75">
      <c r="A140" s="37"/>
      <c r="B140" s="37"/>
      <c r="C140" s="37"/>
      <c r="D140" s="37"/>
      <c r="E140" s="37"/>
      <c r="F140" s="37"/>
      <c r="G140" s="37"/>
      <c r="H140" s="37"/>
      <c r="I140" s="37"/>
      <c r="J140" s="37"/>
      <c r="K140" s="37"/>
      <c r="L140" s="37"/>
    </row>
    <row r="141" spans="1:12" ht="12.75">
      <c r="A141" s="37"/>
      <c r="B141" s="37"/>
      <c r="C141" s="37"/>
      <c r="D141" s="37"/>
      <c r="E141" s="37"/>
      <c r="F141" s="37"/>
      <c r="G141" s="37"/>
      <c r="H141" s="37"/>
      <c r="I141" s="37"/>
      <c r="J141" s="37"/>
      <c r="K141" s="37"/>
      <c r="L141" s="37"/>
    </row>
    <row r="142" spans="1:12" ht="12.75">
      <c r="A142" s="37"/>
      <c r="B142" s="37"/>
      <c r="C142" s="37"/>
      <c r="D142" s="37"/>
      <c r="E142" s="37"/>
      <c r="F142" s="37"/>
      <c r="G142" s="37"/>
      <c r="H142" s="37"/>
      <c r="I142" s="37"/>
      <c r="J142" s="37"/>
      <c r="K142" s="37"/>
      <c r="L142" s="37"/>
    </row>
    <row r="143" spans="1:12" ht="12.75">
      <c r="A143" s="37"/>
      <c r="B143" s="37"/>
      <c r="C143" s="37"/>
      <c r="D143" s="37"/>
      <c r="E143" s="37"/>
      <c r="F143" s="37"/>
      <c r="G143" s="37"/>
      <c r="H143" s="37"/>
      <c r="I143" s="37"/>
      <c r="J143" s="37"/>
      <c r="K143" s="37"/>
      <c r="L143" s="37"/>
    </row>
    <row r="144" spans="1:12" ht="12.75">
      <c r="A144" s="37"/>
      <c r="B144" s="37"/>
      <c r="C144" s="37"/>
      <c r="D144" s="37"/>
      <c r="E144" s="37"/>
      <c r="F144" s="37"/>
      <c r="G144" s="37"/>
      <c r="H144" s="37"/>
      <c r="I144" s="37"/>
      <c r="J144" s="37"/>
      <c r="K144" s="37"/>
      <c r="L144" s="37"/>
    </row>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sheetData>
  <sheetProtection/>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04"/>
  <sheetViews>
    <sheetView showGridLines="0" tabSelected="1" zoomScalePageLayoutView="0" workbookViewId="0" topLeftCell="A6">
      <selection activeCell="F103" sqref="F103"/>
    </sheetView>
  </sheetViews>
  <sheetFormatPr defaultColWidth="9.140625" defaultRowHeight="12.75"/>
  <cols>
    <col min="1" max="1" width="28.7109375" style="0" customWidth="1"/>
    <col min="2" max="2" width="38.7109375" style="0" customWidth="1"/>
    <col min="3" max="3" width="12.28125" style="0" customWidth="1"/>
    <col min="4" max="4" width="12.7109375" style="0" bestFit="1" customWidth="1"/>
    <col min="5" max="5" width="10.8515625" style="0" customWidth="1"/>
    <col min="6" max="6" width="10.7109375" style="0" customWidth="1"/>
    <col min="7" max="7" width="12.7109375" style="0" bestFit="1" customWidth="1"/>
    <col min="8" max="8" width="2.7109375" style="0" customWidth="1"/>
    <col min="9" max="9" width="17.00390625" style="0" bestFit="1" customWidth="1"/>
    <col min="10" max="10" width="2.7109375" style="0" customWidth="1"/>
    <col min="11" max="11" width="13.421875" style="0" customWidth="1"/>
  </cols>
  <sheetData>
    <row r="1" spans="1:11" s="261" customFormat="1" ht="22.5">
      <c r="A1" s="259" t="s">
        <v>404</v>
      </c>
      <c r="B1" s="260"/>
      <c r="C1" s="260"/>
      <c r="D1" s="260"/>
      <c r="E1" s="260"/>
      <c r="F1" s="260"/>
      <c r="G1" s="260"/>
      <c r="H1" s="260"/>
      <c r="I1" s="260"/>
      <c r="J1" s="260"/>
      <c r="K1" s="260"/>
    </row>
    <row r="2" spans="1:11" s="261" customFormat="1" ht="21">
      <c r="A2" s="262"/>
      <c r="B2" s="263" t="s">
        <v>318</v>
      </c>
      <c r="C2" s="260"/>
      <c r="D2" s="260"/>
      <c r="E2" s="260"/>
      <c r="F2" s="260"/>
      <c r="G2" s="260"/>
      <c r="H2" s="260"/>
      <c r="I2" s="260"/>
      <c r="J2" s="260"/>
      <c r="K2" s="260"/>
    </row>
    <row r="3" spans="1:11" s="261" customFormat="1" ht="21">
      <c r="A3" s="262"/>
      <c r="B3" s="263" t="s">
        <v>319</v>
      </c>
      <c r="C3" s="260"/>
      <c r="D3" s="260"/>
      <c r="E3" s="260"/>
      <c r="G3" s="260"/>
      <c r="H3" s="260"/>
      <c r="I3" s="260"/>
      <c r="J3" s="260"/>
      <c r="K3" s="260"/>
    </row>
    <row r="4" spans="1:11" s="261" customFormat="1" ht="12" customHeight="1">
      <c r="A4" s="262"/>
      <c r="B4" s="263"/>
      <c r="C4" s="260"/>
      <c r="D4" s="260"/>
      <c r="E4" s="260"/>
      <c r="F4" s="260"/>
      <c r="G4" s="260"/>
      <c r="H4" s="260"/>
      <c r="I4" s="260"/>
      <c r="J4" s="260"/>
      <c r="K4" s="260"/>
    </row>
    <row r="5" spans="1:11" ht="81" customHeight="1">
      <c r="A5" s="262"/>
      <c r="B5" s="350" t="s">
        <v>317</v>
      </c>
      <c r="C5" s="264"/>
      <c r="D5" s="264"/>
      <c r="E5" s="264"/>
      <c r="F5" s="265"/>
      <c r="G5" s="266"/>
      <c r="H5" s="266"/>
      <c r="I5" s="266"/>
      <c r="J5" s="266"/>
      <c r="K5" s="266"/>
    </row>
    <row r="6" spans="1:11" ht="32.25">
      <c r="A6" s="262"/>
      <c r="B6" s="351" t="s">
        <v>393</v>
      </c>
      <c r="C6" s="264"/>
      <c r="D6" s="264"/>
      <c r="E6" s="264"/>
      <c r="F6" s="265"/>
      <c r="G6" s="266"/>
      <c r="H6" s="266"/>
      <c r="I6" s="266"/>
      <c r="J6" s="266"/>
      <c r="K6" s="266"/>
    </row>
    <row r="7" spans="1:11" ht="32.25">
      <c r="A7" s="262"/>
      <c r="B7" s="352" t="s">
        <v>405</v>
      </c>
      <c r="C7" s="264"/>
      <c r="D7" s="264"/>
      <c r="E7" s="264"/>
      <c r="F7" s="265"/>
      <c r="G7" s="266"/>
      <c r="H7" s="266"/>
      <c r="I7" s="266"/>
      <c r="J7" s="266"/>
      <c r="K7" s="266"/>
    </row>
    <row r="8" spans="1:11" ht="48">
      <c r="A8" s="266"/>
      <c r="B8" s="353" t="s">
        <v>320</v>
      </c>
      <c r="C8" s="266"/>
      <c r="D8" s="266"/>
      <c r="E8" s="266"/>
      <c r="F8" s="266"/>
      <c r="G8" s="266"/>
      <c r="H8" s="266"/>
      <c r="I8" s="266"/>
      <c r="J8" s="266"/>
      <c r="K8" s="266"/>
    </row>
    <row r="9" spans="1:11" ht="12.75">
      <c r="A9" s="266"/>
      <c r="B9" s="354"/>
      <c r="C9" s="267" t="s">
        <v>457</v>
      </c>
      <c r="D9" s="267" t="s">
        <v>456</v>
      </c>
      <c r="E9" s="267" t="s">
        <v>458</v>
      </c>
      <c r="F9" s="267" t="s">
        <v>324</v>
      </c>
      <c r="G9" s="267" t="s">
        <v>325</v>
      </c>
      <c r="H9" s="266"/>
      <c r="I9" s="266"/>
      <c r="J9" s="266"/>
      <c r="K9" s="266"/>
    </row>
    <row r="10" spans="1:11" ht="26.25">
      <c r="A10" s="268"/>
      <c r="B10" s="354"/>
      <c r="C10" s="269" t="s">
        <v>326</v>
      </c>
      <c r="D10" s="269" t="s">
        <v>326</v>
      </c>
      <c r="E10" s="269" t="s">
        <v>326</v>
      </c>
      <c r="F10" s="269" t="s">
        <v>326</v>
      </c>
      <c r="G10" s="269" t="s">
        <v>326</v>
      </c>
      <c r="H10" s="268"/>
      <c r="I10" s="270" t="s">
        <v>62</v>
      </c>
      <c r="J10" s="268"/>
      <c r="K10" s="268"/>
    </row>
    <row r="11" spans="1:11" ht="12.75">
      <c r="A11" s="266"/>
      <c r="B11" s="354"/>
      <c r="C11" s="271"/>
      <c r="D11" s="271"/>
      <c r="E11" s="271"/>
      <c r="F11" s="271"/>
      <c r="G11" s="271"/>
      <c r="H11" s="266"/>
      <c r="I11" s="272"/>
      <c r="J11" s="266"/>
      <c r="K11" s="266"/>
    </row>
    <row r="12" spans="1:11" ht="26.25">
      <c r="A12" s="260"/>
      <c r="B12" s="355" t="s">
        <v>425</v>
      </c>
      <c r="C12" s="273">
        <v>100</v>
      </c>
      <c r="D12" s="273">
        <v>100</v>
      </c>
      <c r="E12" s="273">
        <v>100</v>
      </c>
      <c r="F12" s="273">
        <v>100</v>
      </c>
      <c r="G12" s="273">
        <v>100</v>
      </c>
      <c r="H12" s="260"/>
      <c r="I12" s="274">
        <f>SUM(C12:G12)</f>
        <v>500</v>
      </c>
      <c r="J12" s="260"/>
      <c r="K12" s="260"/>
    </row>
    <row r="13" spans="1:11" ht="12.75">
      <c r="A13" s="266"/>
      <c r="B13" s="354" t="s">
        <v>406</v>
      </c>
      <c r="C13" s="275">
        <f>C12/I12</f>
        <v>0.2</v>
      </c>
      <c r="D13" s="275">
        <f>D12/I12</f>
        <v>0.2</v>
      </c>
      <c r="E13" s="275">
        <f>E12/I12</f>
        <v>0.2</v>
      </c>
      <c r="F13" s="275">
        <f>F12/I12</f>
        <v>0.2</v>
      </c>
      <c r="G13" s="275">
        <f>G12/I12</f>
        <v>0.2</v>
      </c>
      <c r="H13" s="266"/>
      <c r="I13" s="281">
        <f>SUM(C13:G13)</f>
        <v>1</v>
      </c>
      <c r="J13" s="266"/>
      <c r="K13" s="266"/>
    </row>
    <row r="14" spans="1:11" ht="12.75">
      <c r="A14" s="277"/>
      <c r="B14" s="356" t="s">
        <v>327</v>
      </c>
      <c r="C14" s="273">
        <v>95.7</v>
      </c>
      <c r="D14" s="273">
        <v>39.1</v>
      </c>
      <c r="E14" s="273">
        <v>21.9</v>
      </c>
      <c r="F14" s="273">
        <v>39.1</v>
      </c>
      <c r="G14" s="273">
        <v>26.1</v>
      </c>
      <c r="H14" s="277"/>
      <c r="I14" s="279"/>
      <c r="J14" s="277"/>
      <c r="K14" s="277"/>
    </row>
    <row r="15" spans="1:12" ht="12.75">
      <c r="A15" s="260"/>
      <c r="B15" s="356" t="s">
        <v>328</v>
      </c>
      <c r="C15" s="273">
        <v>12.6</v>
      </c>
      <c r="D15" s="273">
        <v>14</v>
      </c>
      <c r="E15" s="273">
        <v>39.2</v>
      </c>
      <c r="F15" s="273">
        <v>14</v>
      </c>
      <c r="G15" s="273">
        <v>19.5</v>
      </c>
      <c r="H15" s="260"/>
      <c r="I15" s="279"/>
      <c r="J15" s="260"/>
      <c r="K15" s="260"/>
      <c r="L15" s="380"/>
    </row>
    <row r="16" spans="1:11" ht="12.75">
      <c r="A16" s="266"/>
      <c r="B16" s="354" t="s">
        <v>407</v>
      </c>
      <c r="C16" s="271">
        <f>C12*C14/100</f>
        <v>95.7</v>
      </c>
      <c r="D16" s="271">
        <f>D12*D14/100</f>
        <v>39.1</v>
      </c>
      <c r="E16" s="271">
        <f>E12*E14/100</f>
        <v>21.9</v>
      </c>
      <c r="F16" s="271">
        <f>F12*F14/100</f>
        <v>39.1</v>
      </c>
      <c r="G16" s="271">
        <f>G12*G14/100</f>
        <v>26.1</v>
      </c>
      <c r="H16" s="266"/>
      <c r="I16" s="276">
        <f>SUM(C16:G16)</f>
        <v>221.9</v>
      </c>
      <c r="J16" s="266"/>
      <c r="K16" s="266"/>
    </row>
    <row r="17" spans="1:11" ht="12.75">
      <c r="A17" s="266"/>
      <c r="B17" s="354" t="s">
        <v>408</v>
      </c>
      <c r="C17" s="275">
        <f>C16/I16</f>
        <v>0.4312753492564218</v>
      </c>
      <c r="D17" s="275">
        <f>D16/I16</f>
        <v>0.17620549797205948</v>
      </c>
      <c r="E17" s="275">
        <f>E16/I16</f>
        <v>0.09869310500225326</v>
      </c>
      <c r="F17" s="275">
        <f>F16/I16</f>
        <v>0.17620549797205948</v>
      </c>
      <c r="G17" s="275">
        <f>G16/I16</f>
        <v>0.11762054979720596</v>
      </c>
      <c r="H17" s="266"/>
      <c r="I17" s="281">
        <f>SUM(C17:G17)</f>
        <v>0.9999999999999999</v>
      </c>
      <c r="J17" s="266"/>
      <c r="K17" s="266"/>
    </row>
    <row r="18" spans="1:11" ht="12.75">
      <c r="A18" s="266"/>
      <c r="B18" s="354" t="s">
        <v>409</v>
      </c>
      <c r="C18" s="275">
        <f>C16*C15/100</f>
        <v>12.0582</v>
      </c>
      <c r="D18" s="275">
        <f>D16*D15/100</f>
        <v>5.474</v>
      </c>
      <c r="E18" s="275">
        <f>E16*E15/100</f>
        <v>8.5848</v>
      </c>
      <c r="F18" s="275">
        <f>F16*F15/100</f>
        <v>5.474</v>
      </c>
      <c r="G18" s="275">
        <f>G16*G15/100</f>
        <v>5.0895</v>
      </c>
      <c r="H18" s="280"/>
      <c r="I18" s="281">
        <f>SUM(C18:G18)</f>
        <v>36.680499999999995</v>
      </c>
      <c r="J18" s="266"/>
      <c r="K18" s="266"/>
    </row>
    <row r="19" spans="1:11" ht="12.75">
      <c r="A19" s="266"/>
      <c r="B19" s="354" t="s">
        <v>410</v>
      </c>
      <c r="C19" s="282">
        <f>C18/I18</f>
        <v>0.3287359768814493</v>
      </c>
      <c r="D19" s="282">
        <f>D18/I18</f>
        <v>0.14923460694374396</v>
      </c>
      <c r="E19" s="282">
        <f>E18/I18</f>
        <v>0.2340426111966849</v>
      </c>
      <c r="F19" s="282">
        <f>F18/I18</f>
        <v>0.14923460694374396</v>
      </c>
      <c r="G19" s="282">
        <f>G18/I18</f>
        <v>0.13875219803437797</v>
      </c>
      <c r="H19" s="266"/>
      <c r="I19" s="291">
        <f>SUM(C19:G19)</f>
        <v>1.0000000000000002</v>
      </c>
      <c r="J19" s="266"/>
      <c r="K19" s="266"/>
    </row>
    <row r="20" spans="1:11" ht="12.75">
      <c r="A20" s="266"/>
      <c r="B20" s="354"/>
      <c r="C20" s="264"/>
      <c r="D20" s="264"/>
      <c r="E20" s="264"/>
      <c r="F20" s="264"/>
      <c r="G20" s="264"/>
      <c r="H20" s="266"/>
      <c r="I20" s="266"/>
      <c r="J20" s="266"/>
      <c r="K20" s="266"/>
    </row>
    <row r="21" spans="1:11" ht="15.75">
      <c r="A21" s="266"/>
      <c r="B21" s="357" t="s">
        <v>411</v>
      </c>
      <c r="C21" s="264"/>
      <c r="D21" s="264"/>
      <c r="E21" s="264"/>
      <c r="F21" s="264"/>
      <c r="G21" s="264"/>
      <c r="H21" s="266"/>
      <c r="I21" s="266"/>
      <c r="J21" s="266"/>
      <c r="K21" s="266"/>
    </row>
    <row r="22" spans="1:11" ht="12.75">
      <c r="A22" s="266"/>
      <c r="B22" s="354"/>
      <c r="C22" s="264"/>
      <c r="D22" s="264"/>
      <c r="E22" s="264"/>
      <c r="F22" s="264"/>
      <c r="G22" s="264"/>
      <c r="H22" s="266"/>
      <c r="I22" s="260"/>
      <c r="J22" s="266"/>
      <c r="K22" s="266"/>
    </row>
    <row r="23" spans="1:11" ht="26.25">
      <c r="A23" s="260"/>
      <c r="B23" s="358" t="s">
        <v>330</v>
      </c>
      <c r="C23" s="277"/>
      <c r="D23" s="277"/>
      <c r="E23" s="277"/>
      <c r="F23" s="277"/>
      <c r="G23" s="277"/>
      <c r="H23" s="260"/>
      <c r="I23" s="285" t="s">
        <v>388</v>
      </c>
      <c r="J23" s="260"/>
      <c r="K23" s="260"/>
    </row>
    <row r="24" spans="1:11" ht="12.75">
      <c r="A24" s="260"/>
      <c r="B24" s="356" t="s">
        <v>332</v>
      </c>
      <c r="C24" s="286">
        <v>0.05</v>
      </c>
      <c r="D24" s="286">
        <v>0.21</v>
      </c>
      <c r="E24" s="286">
        <v>0.04</v>
      </c>
      <c r="F24" s="286">
        <v>0.25</v>
      </c>
      <c r="G24" s="286">
        <v>0.23</v>
      </c>
      <c r="H24" s="260"/>
      <c r="I24" s="281">
        <f>(C19*C24)+(D19*D24)+(E19*E24)+(F19*F24)+(G19*G24)</f>
        <v>0.12635942803396902</v>
      </c>
      <c r="J24" s="260"/>
      <c r="K24" s="260"/>
    </row>
    <row r="25" spans="1:11" ht="12.75">
      <c r="A25" s="266"/>
      <c r="B25" s="354" t="s">
        <v>333</v>
      </c>
      <c r="C25" s="275">
        <f>IF(C24&gt;0,C24/C15*100,"0")</f>
        <v>0.3968253968253969</v>
      </c>
      <c r="D25" s="275">
        <f>IF(D24&gt;0,D24/D15*100,"0")</f>
        <v>1.5</v>
      </c>
      <c r="E25" s="275">
        <f>IF(E24&gt;0,E24/E15*100,"0")</f>
        <v>0.1020408163265306</v>
      </c>
      <c r="F25" s="275">
        <f>IF(F24&gt;0,F24/F15*100,"0")</f>
        <v>1.7857142857142856</v>
      </c>
      <c r="G25" s="275">
        <f>IF(G24&gt;0,G24/G15*100,"0")</f>
        <v>1.1794871794871795</v>
      </c>
      <c r="H25" s="266"/>
      <c r="I25" s="281">
        <f>(C19*C25)+(D19*D25)+(E19*E25)+(F19*F25)+(G19*G25)</f>
        <v>0.8083314022436989</v>
      </c>
      <c r="J25" s="266"/>
      <c r="K25" s="266"/>
    </row>
    <row r="26" spans="1:11" ht="12.75">
      <c r="A26" s="260"/>
      <c r="B26" s="356" t="s">
        <v>334</v>
      </c>
      <c r="C26" s="287">
        <v>1.9</v>
      </c>
      <c r="D26" s="287">
        <v>1.5</v>
      </c>
      <c r="E26" s="287">
        <v>0.77</v>
      </c>
      <c r="F26" s="287">
        <v>0.33</v>
      </c>
      <c r="G26" s="287">
        <v>0.24</v>
      </c>
      <c r="H26" s="260"/>
      <c r="I26" s="281">
        <f>(C19*C26)+(D19*D26)+(E19*E26)+(F19*F26)+(G19*G26)</f>
        <v>1.1112110249315033</v>
      </c>
      <c r="J26" s="260"/>
      <c r="K26" s="260"/>
    </row>
    <row r="27" spans="1:11" ht="12.75">
      <c r="A27" s="266"/>
      <c r="B27" s="354" t="s">
        <v>335</v>
      </c>
      <c r="C27" s="282">
        <f>IF(C26&gt;0,C26/C15*100,"0")</f>
        <v>15.079365079365079</v>
      </c>
      <c r="D27" s="282">
        <f>IF(D26&gt;0,D26/D15*100,"0")</f>
        <v>10.714285714285714</v>
      </c>
      <c r="E27" s="282">
        <f>IF(E26&gt;0,E26/E15*100,"0")</f>
        <v>1.9642857142857142</v>
      </c>
      <c r="F27" s="282">
        <f>IF(F26&gt;0,F26/F15*100,"0")</f>
        <v>2.357142857142857</v>
      </c>
      <c r="G27" s="282">
        <f>IF(G26&gt;0,G26/G15*100,"0")</f>
        <v>1.2307692307692308</v>
      </c>
      <c r="H27" s="266"/>
      <c r="I27" s="281">
        <f>(C19*C27)+(D19*D27)+(E19*E27)+(F19*F27)+(G19*G27)</f>
        <v>7.538337808917546</v>
      </c>
      <c r="J27" s="266"/>
      <c r="K27" s="266"/>
    </row>
    <row r="28" spans="1:11" ht="12.75">
      <c r="A28" s="266"/>
      <c r="B28" s="264"/>
      <c r="C28" s="288"/>
      <c r="D28" s="288"/>
      <c r="E28" s="288"/>
      <c r="F28" s="288"/>
      <c r="G28" s="288"/>
      <c r="H28" s="266"/>
      <c r="I28" s="281"/>
      <c r="J28" s="266"/>
      <c r="K28" s="266"/>
    </row>
    <row r="29" spans="1:11" ht="66">
      <c r="A29" s="266"/>
      <c r="B29" s="289" t="s">
        <v>416</v>
      </c>
      <c r="C29" s="288"/>
      <c r="D29" s="288"/>
      <c r="E29" s="288"/>
      <c r="F29" s="288"/>
      <c r="G29" s="288"/>
      <c r="H29" s="266"/>
      <c r="I29" s="281"/>
      <c r="J29" s="266"/>
      <c r="K29" s="266"/>
    </row>
    <row r="30" spans="1:11" ht="12.75">
      <c r="A30" s="266"/>
      <c r="B30" s="284" t="s">
        <v>329</v>
      </c>
      <c r="C30" s="288"/>
      <c r="D30" s="288"/>
      <c r="E30" s="288"/>
      <c r="F30" s="288"/>
      <c r="G30" s="288"/>
      <c r="H30" s="266"/>
      <c r="I30" s="281"/>
      <c r="J30" s="266"/>
      <c r="K30" s="266"/>
    </row>
    <row r="31" spans="1:11" ht="12.75">
      <c r="A31" s="266"/>
      <c r="B31" s="264"/>
      <c r="C31" s="264"/>
      <c r="D31" s="264"/>
      <c r="E31" s="264"/>
      <c r="F31" s="264"/>
      <c r="G31" s="264"/>
      <c r="H31" s="266"/>
      <c r="I31" s="281"/>
      <c r="J31" s="266"/>
      <c r="K31" s="266"/>
    </row>
    <row r="32" spans="1:12" ht="15">
      <c r="A32" s="260"/>
      <c r="B32" s="278" t="s">
        <v>417</v>
      </c>
      <c r="C32" s="286">
        <v>12.485431182084797</v>
      </c>
      <c r="D32" s="286">
        <v>27.127528451176527</v>
      </c>
      <c r="E32" s="286">
        <v>22.42880936639519</v>
      </c>
      <c r="F32" s="286">
        <v>2.7757576500058376</v>
      </c>
      <c r="G32" s="286">
        <v>2.961962921379084</v>
      </c>
      <c r="H32" s="260"/>
      <c r="I32" s="281">
        <f>(C19*C32)+(D19*D32)+(E19*E32)+(F19*F32)+(G19*G32)</f>
        <v>14.227291540046496</v>
      </c>
      <c r="J32" s="260"/>
      <c r="K32" s="260"/>
      <c r="L32" s="361"/>
    </row>
    <row r="33" spans="1:12" ht="15">
      <c r="A33" s="260"/>
      <c r="B33" s="278" t="s">
        <v>418</v>
      </c>
      <c r="C33" s="287">
        <v>1.0467495028651441</v>
      </c>
      <c r="D33" s="287">
        <v>2.7040574387312715</v>
      </c>
      <c r="E33" s="287">
        <v>37.06791500885009</v>
      </c>
      <c r="F33" s="287">
        <v>0.13279767379181381</v>
      </c>
      <c r="G33" s="287">
        <v>0.05232593944232195</v>
      </c>
      <c r="H33" s="260"/>
      <c r="I33" s="281">
        <f>(C19*C33)+(D19*D33)+(E19*E33)+(F19*F33)+(G19*G33)</f>
        <v>9.450193137448176</v>
      </c>
      <c r="J33" s="260"/>
      <c r="K33" s="260"/>
      <c r="L33" s="361"/>
    </row>
    <row r="34" spans="1:12" ht="12.75">
      <c r="A34" s="260"/>
      <c r="B34" s="278" t="s">
        <v>43</v>
      </c>
      <c r="C34" s="287">
        <v>3.974398821404809</v>
      </c>
      <c r="D34" s="287">
        <v>9.484397236062227</v>
      </c>
      <c r="E34" s="287">
        <v>6.067966108599129</v>
      </c>
      <c r="F34" s="287">
        <v>46.061308040852595</v>
      </c>
      <c r="G34" s="287">
        <v>51.6628281897743</v>
      </c>
      <c r="H34" s="260"/>
      <c r="I34" s="281">
        <f>(C19*C34)+(D19*D34)+(E19*E34)+(F19*F34)+(G19*G34)</f>
        <v>18.184362974197555</v>
      </c>
      <c r="J34" s="260"/>
      <c r="K34" s="260"/>
      <c r="L34" s="361"/>
    </row>
    <row r="35" spans="1:12" ht="15">
      <c r="A35" s="260"/>
      <c r="B35" s="278" t="s">
        <v>419</v>
      </c>
      <c r="C35" s="287">
        <v>5.149270296002615</v>
      </c>
      <c r="D35" s="287">
        <v>6.134319163627579</v>
      </c>
      <c r="E35" s="287">
        <v>7.659227522701112</v>
      </c>
      <c r="F35" s="287">
        <v>0.49083064884318234</v>
      </c>
      <c r="G35" s="287">
        <v>0.4839060670752703</v>
      </c>
      <c r="H35" s="260"/>
      <c r="I35" s="281">
        <f>(C19*C35)+(D19*D35)+(E19*E35)+(F19*F35)+(G19*G35)</f>
        <v>4.541180668801891</v>
      </c>
      <c r="J35" s="260"/>
      <c r="K35" s="260"/>
      <c r="L35" s="361"/>
    </row>
    <row r="36" spans="1:12" ht="15">
      <c r="A36" s="260"/>
      <c r="B36" s="278" t="s">
        <v>420</v>
      </c>
      <c r="C36" s="287">
        <v>0.5927414444038483</v>
      </c>
      <c r="D36" s="287">
        <v>0.7154615205766102</v>
      </c>
      <c r="E36" s="287">
        <v>1.198457643927136</v>
      </c>
      <c r="F36" s="287">
        <v>2.352441365229089</v>
      </c>
      <c r="G36" s="287">
        <v>2.1003344481605346</v>
      </c>
      <c r="H36" s="260"/>
      <c r="I36" s="281">
        <f>(C19*C36)+(D19*D36)+(E19*E36)+(F19*F36)+(G19*G36)</f>
        <v>1.2246088967519417</v>
      </c>
      <c r="J36" s="260"/>
      <c r="K36" s="260"/>
      <c r="L36" s="361"/>
    </row>
    <row r="37" spans="1:12" ht="12.75">
      <c r="A37" s="260"/>
      <c r="B37" s="278" t="s">
        <v>44</v>
      </c>
      <c r="C37" s="287">
        <v>0.5356137326725563</v>
      </c>
      <c r="D37" s="287">
        <v>0.9075463536137293</v>
      </c>
      <c r="E37" s="287">
        <v>1.0998035577867513</v>
      </c>
      <c r="F37" s="287">
        <v>1.2597088003858474</v>
      </c>
      <c r="G37" s="287">
        <v>1.3605459397314603</v>
      </c>
      <c r="H37" s="260"/>
      <c r="I37" s="281">
        <f>(C19*C37)+(D19*D37)+(E19*E37)+(F19*F37)+(G19*G37)</f>
        <v>0.9456846108274662</v>
      </c>
      <c r="J37" s="260"/>
      <c r="K37" s="260"/>
      <c r="L37" s="361"/>
    </row>
    <row r="38" spans="1:12" ht="15">
      <c r="A38" s="260"/>
      <c r="B38" s="278" t="s">
        <v>421</v>
      </c>
      <c r="C38" s="287">
        <v>0.032653804149981806</v>
      </c>
      <c r="D38" s="287">
        <v>0.0326538041499818</v>
      </c>
      <c r="E38" s="287">
        <v>0.28258099745176557</v>
      </c>
      <c r="F38" s="287">
        <v>0.06920035685536591</v>
      </c>
      <c r="G38" s="287">
        <v>0.0162302931869732</v>
      </c>
      <c r="H38" s="260"/>
      <c r="I38" s="281">
        <f>(C19*C38)+(D19*D38)+(E19*E38)+(F19*F38)+(G19*G38)</f>
        <v>0.09432262926196756</v>
      </c>
      <c r="J38" s="260"/>
      <c r="K38" s="260"/>
      <c r="L38" s="361"/>
    </row>
    <row r="39" spans="1:12" ht="15">
      <c r="A39" s="260"/>
      <c r="B39" s="278" t="s">
        <v>422</v>
      </c>
      <c r="C39" s="287">
        <v>0.5327720126763189</v>
      </c>
      <c r="D39" s="287">
        <v>0.5327720126763189</v>
      </c>
      <c r="E39" s="287">
        <v>0.6533563838758645</v>
      </c>
      <c r="F39" s="287">
        <v>3.9156574652331297</v>
      </c>
      <c r="G39" s="287">
        <v>3.0415899889584104</v>
      </c>
      <c r="H39" s="260"/>
      <c r="I39" s="281">
        <f>(C19*C39)+(D19*D39)+(E19*E39)+(F19*F39)+(G19*G39)</f>
        <v>1.4139414833066961</v>
      </c>
      <c r="J39" s="260"/>
      <c r="K39" s="260"/>
      <c r="L39" s="361"/>
    </row>
    <row r="40" spans="1:12" ht="15">
      <c r="A40" s="260"/>
      <c r="B40" s="278" t="s">
        <v>423</v>
      </c>
      <c r="C40" s="287">
        <v>0.3746539149509766</v>
      </c>
      <c r="D40" s="287">
        <v>0.4201216230760952</v>
      </c>
      <c r="E40" s="287">
        <v>13.913118686286266</v>
      </c>
      <c r="F40" s="287">
        <v>37.55560092148276</v>
      </c>
      <c r="G40" s="287">
        <v>44.30373479711549</v>
      </c>
      <c r="H40" s="260"/>
      <c r="I40" s="281">
        <f>(C19*C40)+(D19*D40)+(E19*E40)+(F19*F40)+(G19*G40)</f>
        <v>15.193957459525544</v>
      </c>
      <c r="J40" s="260"/>
      <c r="K40" s="260"/>
      <c r="L40" s="361"/>
    </row>
    <row r="41" spans="1:12" ht="15">
      <c r="A41" s="260"/>
      <c r="B41" s="278" t="s">
        <v>424</v>
      </c>
      <c r="C41" s="381">
        <v>0.13770404848099083</v>
      </c>
      <c r="D41" s="381">
        <v>0.8539017795384519</v>
      </c>
      <c r="E41" s="381">
        <v>1.5747063236322096</v>
      </c>
      <c r="F41" s="381">
        <v>0.07851716754937246</v>
      </c>
      <c r="G41" s="381">
        <v>0.004705567337146285</v>
      </c>
      <c r="H41" s="260"/>
      <c r="I41" s="281">
        <f>(C19*C41)+(D19*D41)+(E19*E41)+(F19*F41)+(G19*G41)</f>
        <v>0.5536187376353221</v>
      </c>
      <c r="J41" s="260"/>
      <c r="K41" s="260"/>
      <c r="L41" s="361"/>
    </row>
    <row r="42" spans="1:12" ht="12.75">
      <c r="A42" s="266"/>
      <c r="B42" s="264" t="s">
        <v>426</v>
      </c>
      <c r="C42" s="290">
        <f>C27</f>
        <v>15.079365079365079</v>
      </c>
      <c r="D42" s="290">
        <f>D27</f>
        <v>10.714285714285714</v>
      </c>
      <c r="E42" s="290">
        <f>E27</f>
        <v>1.9642857142857142</v>
      </c>
      <c r="F42" s="290">
        <f>F27</f>
        <v>2.357142857142857</v>
      </c>
      <c r="G42" s="290">
        <f>G27</f>
        <v>1.2307692307692308</v>
      </c>
      <c r="H42" s="266"/>
      <c r="I42" s="281">
        <f>(C19*C42)+(D19*D42)+(E19*E42)+(F19*F42)+(G19*G42)</f>
        <v>7.538337808917546</v>
      </c>
      <c r="J42" s="266"/>
      <c r="K42" s="266"/>
      <c r="L42" s="361"/>
    </row>
    <row r="43" spans="1:11" ht="15">
      <c r="A43" s="266"/>
      <c r="B43" s="264" t="s">
        <v>427</v>
      </c>
      <c r="C43" s="290">
        <f>C42*(32.06+48)/32.06</f>
        <v>37.65608135539514</v>
      </c>
      <c r="D43" s="290">
        <f>D42*(32.06+48)/32.06</f>
        <v>26.755636752517596</v>
      </c>
      <c r="E43" s="290">
        <f>E42*(32.06+48)/32.06</f>
        <v>4.905200071294892</v>
      </c>
      <c r="F43" s="290">
        <f>F42*(32.06+48)/32.06</f>
        <v>5.886240085553872</v>
      </c>
      <c r="G43" s="290">
        <f>G42*(32.06+48)/32.06</f>
        <v>3.073468016699458</v>
      </c>
      <c r="H43" s="266"/>
      <c r="I43" s="281">
        <f>(C19*C43)+(D19*D43)+(E19*E43)+(F19*F43)+(G19*G43)</f>
        <v>18.824682625762275</v>
      </c>
      <c r="J43" s="266"/>
      <c r="K43" s="266"/>
    </row>
    <row r="44" spans="1:11" ht="17.25" customHeight="1">
      <c r="A44" s="266"/>
      <c r="B44" s="264" t="s">
        <v>428</v>
      </c>
      <c r="C44" s="290">
        <f>C25</f>
        <v>0.3968253968253969</v>
      </c>
      <c r="D44" s="290">
        <f>D25</f>
        <v>1.5</v>
      </c>
      <c r="E44" s="290">
        <f>E25</f>
        <v>0.1020408163265306</v>
      </c>
      <c r="F44" s="290">
        <f>F25</f>
        <v>1.7857142857142856</v>
      </c>
      <c r="G44" s="290">
        <f>G25</f>
        <v>1.1794871794871795</v>
      </c>
      <c r="H44" s="266"/>
      <c r="I44" s="291">
        <f>(C19*C44)+(D19*D44)+(E19*E44)+(F19*F44)+(G19*G44)</f>
        <v>0.8083314022436989</v>
      </c>
      <c r="J44" s="266"/>
      <c r="K44" s="266"/>
    </row>
    <row r="45" spans="1:11" ht="17.25" customHeight="1">
      <c r="A45" s="266"/>
      <c r="B45" s="264"/>
      <c r="C45" s="290"/>
      <c r="D45" s="290"/>
      <c r="E45" s="290"/>
      <c r="F45" s="290"/>
      <c r="G45" s="290"/>
      <c r="H45" s="266"/>
      <c r="I45" s="292"/>
      <c r="J45" s="266"/>
      <c r="K45" s="266"/>
    </row>
    <row r="46" spans="1:11" ht="17.25" customHeight="1" hidden="1">
      <c r="A46" s="266"/>
      <c r="B46" s="313" t="s">
        <v>412</v>
      </c>
      <c r="C46" s="266"/>
      <c r="D46" s="266"/>
      <c r="E46" s="266"/>
      <c r="F46" s="266"/>
      <c r="G46" s="266"/>
      <c r="H46" s="266"/>
      <c r="I46" s="266"/>
      <c r="J46" s="266"/>
      <c r="K46" s="266"/>
    </row>
    <row r="47" spans="1:11" ht="17.25" customHeight="1" hidden="1">
      <c r="A47" s="293"/>
      <c r="B47" s="341"/>
      <c r="C47" s="341"/>
      <c r="D47" s="341"/>
      <c r="E47" s="341"/>
      <c r="F47" s="341"/>
      <c r="G47" s="341"/>
      <c r="H47" s="342"/>
      <c r="I47" s="342"/>
      <c r="J47" s="293"/>
      <c r="K47" s="293"/>
    </row>
    <row r="48" spans="1:11" ht="17.25" customHeight="1" hidden="1">
      <c r="A48" s="293"/>
      <c r="B48" s="343" t="s">
        <v>336</v>
      </c>
      <c r="C48" s="344" t="s">
        <v>321</v>
      </c>
      <c r="D48" s="344" t="s">
        <v>322</v>
      </c>
      <c r="E48" s="344" t="s">
        <v>323</v>
      </c>
      <c r="F48" s="344" t="s">
        <v>324</v>
      </c>
      <c r="G48" s="344" t="s">
        <v>325</v>
      </c>
      <c r="H48" s="345"/>
      <c r="I48" s="345" t="s">
        <v>331</v>
      </c>
      <c r="J48" s="346"/>
      <c r="K48" s="346"/>
    </row>
    <row r="49" spans="1:11" ht="17.25" customHeight="1" hidden="1">
      <c r="A49" s="293"/>
      <c r="B49" s="343" t="s">
        <v>337</v>
      </c>
      <c r="C49" s="343">
        <f>C32/60.085</f>
        <v>0.20779614183381537</v>
      </c>
      <c r="D49" s="343">
        <f>D32/60.085</f>
        <v>0.45148586920490186</v>
      </c>
      <c r="E49" s="343">
        <f>E32/60.085</f>
        <v>0.37328466949147354</v>
      </c>
      <c r="F49" s="343">
        <f>F32/60.085</f>
        <v>0.046197181492982235</v>
      </c>
      <c r="G49" s="343">
        <f>G32/60.085</f>
        <v>0.04929621238876731</v>
      </c>
      <c r="H49" s="343"/>
      <c r="I49" s="343">
        <f>I32/60.085</f>
        <v>0.2367860787225846</v>
      </c>
      <c r="J49" s="346"/>
      <c r="K49" s="346"/>
    </row>
    <row r="50" spans="1:11" ht="17.25" customHeight="1" hidden="1">
      <c r="A50" s="293"/>
      <c r="B50" s="343" t="s">
        <v>338</v>
      </c>
      <c r="C50" s="343">
        <f>C33/101.96*2</f>
        <v>0.020532552037370422</v>
      </c>
      <c r="D50" s="343">
        <f>D33/101.96*2</f>
        <v>0.05304153469461106</v>
      </c>
      <c r="E50" s="343">
        <f>E33/101.96*2</f>
        <v>0.7271070029197744</v>
      </c>
      <c r="F50" s="343">
        <f>F33/101.96*2</f>
        <v>0.0026048974851277723</v>
      </c>
      <c r="G50" s="343">
        <f>G33/101.96*2</f>
        <v>0.0010264013229172608</v>
      </c>
      <c r="H50" s="343"/>
      <c r="I50" s="343">
        <f>I33/101.96*2</f>
        <v>0.18537059900839892</v>
      </c>
      <c r="J50" s="346"/>
      <c r="K50" s="346"/>
    </row>
    <row r="51" spans="1:11" ht="17.25" customHeight="1" hidden="1">
      <c r="A51" s="293"/>
      <c r="B51" s="343" t="s">
        <v>339</v>
      </c>
      <c r="C51" s="343">
        <f>C34/56.079</f>
        <v>0.07087142818889083</v>
      </c>
      <c r="D51" s="343">
        <f>D34/56.079</f>
        <v>0.1691256483899896</v>
      </c>
      <c r="E51" s="343">
        <f>E34/56.079</f>
        <v>0.10820389287610566</v>
      </c>
      <c r="F51" s="343">
        <f>F34/56.079</f>
        <v>0.8213646470310204</v>
      </c>
      <c r="G51" s="343">
        <f>G34/56.079</f>
        <v>0.9212508816094135</v>
      </c>
      <c r="H51" s="343"/>
      <c r="I51" s="343">
        <f>I34/56.079</f>
        <v>0.3242633244921906</v>
      </c>
      <c r="J51" s="346"/>
      <c r="K51" s="346"/>
    </row>
    <row r="52" spans="1:11" ht="17.25" customHeight="1" hidden="1">
      <c r="A52" s="293"/>
      <c r="B52" s="343" t="s">
        <v>340</v>
      </c>
      <c r="C52" s="343">
        <f>C35/159.69*2</f>
        <v>0.06449082968254262</v>
      </c>
      <c r="D52" s="343">
        <f>D35/159.69*2</f>
        <v>0.07682784349211069</v>
      </c>
      <c r="E52" s="343">
        <f>E35/159.69*2</f>
        <v>0.09592620104829498</v>
      </c>
      <c r="F52" s="343">
        <f>F35/159.69*2</f>
        <v>0.006147293491679909</v>
      </c>
      <c r="G52" s="343">
        <f>G35/159.69*2</f>
        <v>0.006060568189307662</v>
      </c>
      <c r="H52" s="343"/>
      <c r="I52" s="343">
        <f>I35/159.69*2</f>
        <v>0.056874953582589906</v>
      </c>
      <c r="J52" s="346"/>
      <c r="K52" s="346"/>
    </row>
    <row r="53" spans="1:11" ht="17.25" customHeight="1" hidden="1">
      <c r="A53" s="293"/>
      <c r="B53" s="343" t="s">
        <v>341</v>
      </c>
      <c r="C53" s="343">
        <f>C36/94.203*2</f>
        <v>0.012584343267281261</v>
      </c>
      <c r="D53" s="343">
        <f>D36/94.203*2</f>
        <v>0.015189782078630408</v>
      </c>
      <c r="E53" s="343">
        <f>E36/94.203*2</f>
        <v>0.025444150269675826</v>
      </c>
      <c r="F53" s="343">
        <f>F36/94.203*2</f>
        <v>0.04994408596815577</v>
      </c>
      <c r="G53" s="343">
        <f>G36/94.203*2</f>
        <v>0.04459166795453509</v>
      </c>
      <c r="H53" s="343"/>
      <c r="I53" s="343">
        <f>I36/94.203*2</f>
        <v>0.025999360885575654</v>
      </c>
      <c r="J53" s="346"/>
      <c r="K53" s="346"/>
    </row>
    <row r="54" spans="1:11" ht="17.25" customHeight="1" hidden="1">
      <c r="A54" s="293"/>
      <c r="B54" s="343" t="s">
        <v>342</v>
      </c>
      <c r="C54" s="343">
        <f>C37/40.304</f>
        <v>0.013289344300132898</v>
      </c>
      <c r="D54" s="343">
        <f>D37/40.304</f>
        <v>0.0225175256454379</v>
      </c>
      <c r="E54" s="343">
        <f>E37/40.304</f>
        <v>0.02728770240638029</v>
      </c>
      <c r="F54" s="343">
        <f>F37/40.304</f>
        <v>0.031255180636806455</v>
      </c>
      <c r="G54" s="343">
        <f>G37/40.304</f>
        <v>0.033757094574520155</v>
      </c>
      <c r="H54" s="343"/>
      <c r="I54" s="343">
        <f>I37/40.304</f>
        <v>0.02346379046316659</v>
      </c>
      <c r="J54" s="346"/>
      <c r="K54" s="346"/>
    </row>
    <row r="55" spans="1:11" ht="17.25" customHeight="1" hidden="1">
      <c r="A55" s="293"/>
      <c r="B55" s="343" t="s">
        <v>343</v>
      </c>
      <c r="C55" s="343">
        <f>C38/86.937</f>
        <v>0.00037560307061414367</v>
      </c>
      <c r="D55" s="343">
        <f>D38/86.937</f>
        <v>0.00037560307061414356</v>
      </c>
      <c r="E55" s="343">
        <f>E38/86.937</f>
        <v>0.003250411188007012</v>
      </c>
      <c r="F55" s="343">
        <f>F38/86.937</f>
        <v>0.0007959828019757515</v>
      </c>
      <c r="G55" s="343">
        <f>G38/86.937</f>
        <v>0.00018669028361886425</v>
      </c>
      <c r="H55" s="343"/>
      <c r="I55" s="343">
        <f>I38/86.937</f>
        <v>0.0010849538086426672</v>
      </c>
      <c r="J55" s="346"/>
      <c r="K55" s="346"/>
    </row>
    <row r="56" spans="1:11" ht="17.25" customHeight="1" hidden="1">
      <c r="A56" s="293"/>
      <c r="B56" s="343" t="s">
        <v>344</v>
      </c>
      <c r="C56" s="343">
        <f>C39/61.979*2</f>
        <v>0.01719201705985314</v>
      </c>
      <c r="D56" s="343">
        <f>D39/61.979*2</f>
        <v>0.01719201705985314</v>
      </c>
      <c r="E56" s="343">
        <f>E39/61.979*2</f>
        <v>0.02108315345119684</v>
      </c>
      <c r="F56" s="343">
        <f>F39/61.979*2</f>
        <v>0.1263543285704232</v>
      </c>
      <c r="G56" s="343">
        <f>G39/61.979*2</f>
        <v>0.09814905012854065</v>
      </c>
      <c r="H56" s="343"/>
      <c r="I56" s="343">
        <f>I39/61.979*2</f>
        <v>0.04562646971737834</v>
      </c>
      <c r="J56" s="346"/>
      <c r="K56" s="346"/>
    </row>
    <row r="57" spans="1:11" ht="17.25" customHeight="1" hidden="1">
      <c r="A57" s="293"/>
      <c r="B57" s="343" t="s">
        <v>345</v>
      </c>
      <c r="C57" s="343">
        <f>C40/141.94*2</f>
        <v>0.005279046286472828</v>
      </c>
      <c r="D57" s="343">
        <f>D40/141.94*2</f>
        <v>0.005919707243569046</v>
      </c>
      <c r="E57" s="343">
        <f>E40/141.94*2</f>
        <v>0.1960422528714424</v>
      </c>
      <c r="F57" s="343">
        <f>F40/141.94*2</f>
        <v>0.5291757210297697</v>
      </c>
      <c r="G57" s="343">
        <f>G40/141.94*2</f>
        <v>0.6242600365945539</v>
      </c>
      <c r="H57" s="343"/>
      <c r="I57" s="343">
        <f>I40/141.94*2</f>
        <v>0.21408986134318084</v>
      </c>
      <c r="J57" s="346"/>
      <c r="K57" s="346"/>
    </row>
    <row r="58" spans="1:11" ht="17.25" customHeight="1" hidden="1">
      <c r="A58" s="293"/>
      <c r="B58" s="347" t="s">
        <v>346</v>
      </c>
      <c r="C58" s="347">
        <f>C41/79.899</f>
        <v>0.0017234764950874331</v>
      </c>
      <c r="D58" s="347">
        <f>D41/79.899</f>
        <v>0.010687264916187336</v>
      </c>
      <c r="E58" s="347">
        <f>E41/79.899</f>
        <v>0.01970871129341055</v>
      </c>
      <c r="F58" s="347">
        <f>F41/79.899</f>
        <v>0.0009827052597575997</v>
      </c>
      <c r="G58" s="347">
        <f>G41/79.899</f>
        <v>5.889394532029543E-05</v>
      </c>
      <c r="H58" s="347"/>
      <c r="I58" s="347">
        <f>I41/79.899</f>
        <v>0.006928982060292645</v>
      </c>
      <c r="J58" s="346"/>
      <c r="K58" s="346"/>
    </row>
    <row r="59" spans="1:11" ht="17.25" customHeight="1" hidden="1">
      <c r="A59" s="293"/>
      <c r="B59" s="347" t="s">
        <v>347</v>
      </c>
      <c r="C59" s="347">
        <f>C42/32.06</f>
        <v>0.4703482557506263</v>
      </c>
      <c r="D59" s="347">
        <f>D42/32.06</f>
        <v>0.3341948132964976</v>
      </c>
      <c r="E59" s="347">
        <f>E42/32.06</f>
        <v>0.061269049104357896</v>
      </c>
      <c r="F59" s="347">
        <f>F42/32.06</f>
        <v>0.07352285892522947</v>
      </c>
      <c r="G59" s="347">
        <f>G42/32.06</f>
        <v>0.03838955804021306</v>
      </c>
      <c r="H59" s="347"/>
      <c r="I59" s="347">
        <f>I42/32.06</f>
        <v>0.23513218368426528</v>
      </c>
      <c r="J59" s="346"/>
      <c r="K59" s="346"/>
    </row>
    <row r="60" spans="1:11" ht="17.25" customHeight="1" hidden="1">
      <c r="A60" s="293"/>
      <c r="B60" s="347" t="s">
        <v>348</v>
      </c>
      <c r="C60" s="347">
        <f>C59</f>
        <v>0.4703482557506263</v>
      </c>
      <c r="D60" s="347">
        <f>D59</f>
        <v>0.3341948132964976</v>
      </c>
      <c r="E60" s="347">
        <f>E59</f>
        <v>0.061269049104357896</v>
      </c>
      <c r="F60" s="347">
        <f>F59</f>
        <v>0.07352285892522947</v>
      </c>
      <c r="G60" s="347">
        <f>G59</f>
        <v>0.03838955804021306</v>
      </c>
      <c r="H60" s="347"/>
      <c r="I60" s="347">
        <f>I59</f>
        <v>0.23513218368426528</v>
      </c>
      <c r="J60" s="346"/>
      <c r="K60" s="346"/>
    </row>
    <row r="61" spans="1:11" ht="21.75" customHeight="1" hidden="1">
      <c r="A61" s="293"/>
      <c r="B61" s="347" t="s">
        <v>349</v>
      </c>
      <c r="C61" s="347">
        <f>C44/35.453</f>
        <v>0.011192999092471635</v>
      </c>
      <c r="D61" s="347">
        <f>D44/35.453</f>
        <v>0.04230953656954277</v>
      </c>
      <c r="E61" s="347">
        <f>E44/35.453</f>
        <v>0.0028781997666355624</v>
      </c>
      <c r="F61" s="347">
        <f>F44/35.453</f>
        <v>0.050368495916122344</v>
      </c>
      <c r="G61" s="347">
        <f>G44/35.453</f>
        <v>0.033269037302546454</v>
      </c>
      <c r="H61" s="347"/>
      <c r="I61" s="347">
        <f>I44/35.453</f>
        <v>0.022800084682359712</v>
      </c>
      <c r="J61" s="346"/>
      <c r="K61" s="346"/>
    </row>
    <row r="62" spans="1:11" ht="21.75" customHeight="1" hidden="1">
      <c r="A62" s="293"/>
      <c r="B62" s="347"/>
      <c r="C62" s="347"/>
      <c r="D62" s="347"/>
      <c r="E62" s="347"/>
      <c r="F62" s="347"/>
      <c r="G62" s="347"/>
      <c r="H62" s="346"/>
      <c r="I62" s="346"/>
      <c r="J62" s="346"/>
      <c r="K62" s="346"/>
    </row>
    <row r="63" spans="1:11" ht="36.75" customHeight="1" hidden="1">
      <c r="A63" s="293"/>
      <c r="B63" s="348" t="s">
        <v>350</v>
      </c>
      <c r="C63" s="347"/>
      <c r="D63" s="347"/>
      <c r="E63" s="347"/>
      <c r="F63" s="347"/>
      <c r="G63" s="347"/>
      <c r="H63" s="346"/>
      <c r="I63" s="346"/>
      <c r="J63" s="346"/>
      <c r="K63" s="346"/>
    </row>
    <row r="64" spans="1:11" ht="17.25" customHeight="1" hidden="1">
      <c r="A64" s="293"/>
      <c r="B64" s="347"/>
      <c r="C64" s="349" t="s">
        <v>321</v>
      </c>
      <c r="D64" s="349" t="s">
        <v>322</v>
      </c>
      <c r="E64" s="349" t="s">
        <v>323</v>
      </c>
      <c r="F64" s="349" t="s">
        <v>324</v>
      </c>
      <c r="G64" s="349" t="s">
        <v>325</v>
      </c>
      <c r="H64" s="346"/>
      <c r="I64" s="346" t="s">
        <v>331</v>
      </c>
      <c r="J64" s="346"/>
      <c r="K64" s="346"/>
    </row>
    <row r="65" spans="1:11" ht="17.25" customHeight="1" hidden="1">
      <c r="A65" s="293"/>
      <c r="B65" s="347" t="s">
        <v>351</v>
      </c>
      <c r="C65" s="347">
        <f>2*C49</f>
        <v>0.41559228366763074</v>
      </c>
      <c r="D65" s="347">
        <f>2*D49</f>
        <v>0.9029717384098037</v>
      </c>
      <c r="E65" s="347">
        <f>2*E49</f>
        <v>0.7465693389829471</v>
      </c>
      <c r="F65" s="347">
        <f>2*F49</f>
        <v>0.09239436298596447</v>
      </c>
      <c r="G65" s="347">
        <f>2*G49</f>
        <v>0.09859242477753462</v>
      </c>
      <c r="H65" s="346"/>
      <c r="I65" s="347">
        <f>2*I49</f>
        <v>0.4735721574451692</v>
      </c>
      <c r="J65" s="346"/>
      <c r="K65" s="346"/>
    </row>
    <row r="66" spans="1:11" ht="17.25" customHeight="1" hidden="1">
      <c r="A66" s="293"/>
      <c r="B66" s="347" t="s">
        <v>352</v>
      </c>
      <c r="C66" s="347">
        <f>C50</f>
        <v>0.020532552037370422</v>
      </c>
      <c r="D66" s="347">
        <f>D50</f>
        <v>0.05304153469461106</v>
      </c>
      <c r="E66" s="347">
        <f>E50</f>
        <v>0.7271070029197744</v>
      </c>
      <c r="F66" s="347">
        <f>F50</f>
        <v>0.0026048974851277723</v>
      </c>
      <c r="G66" s="347">
        <f>G50</f>
        <v>0.0010264013229172608</v>
      </c>
      <c r="H66" s="346"/>
      <c r="I66" s="347">
        <f>I50</f>
        <v>0.18537059900839892</v>
      </c>
      <c r="J66" s="346"/>
      <c r="K66" s="346"/>
    </row>
    <row r="67" spans="1:11" ht="17.25" customHeight="1" hidden="1">
      <c r="A67" s="293"/>
      <c r="B67" s="347" t="s">
        <v>353</v>
      </c>
      <c r="C67" s="347">
        <f>C51*2</f>
        <v>0.14174285637778167</v>
      </c>
      <c r="D67" s="347">
        <f>D51*2</f>
        <v>0.3382512967799792</v>
      </c>
      <c r="E67" s="347">
        <f>E51*2</f>
        <v>0.2164077857522113</v>
      </c>
      <c r="F67" s="347">
        <f>F51*2</f>
        <v>1.6427292940620408</v>
      </c>
      <c r="G67" s="347">
        <f>G51*2</f>
        <v>1.842501763218827</v>
      </c>
      <c r="H67" s="346"/>
      <c r="I67" s="347">
        <f>I51*2</f>
        <v>0.6485266489843812</v>
      </c>
      <c r="J67" s="346"/>
      <c r="K67" s="346"/>
    </row>
    <row r="68" spans="1:11" ht="17.25" customHeight="1" hidden="1">
      <c r="A68" s="293"/>
      <c r="B68" s="347" t="s">
        <v>354</v>
      </c>
      <c r="C68" s="347">
        <f>C52*3</f>
        <v>0.19347248904762787</v>
      </c>
      <c r="D68" s="347">
        <f>D52*3</f>
        <v>0.23048353047633208</v>
      </c>
      <c r="E68" s="347">
        <f>E52*3</f>
        <v>0.28777860314488496</v>
      </c>
      <c r="F68" s="347">
        <f>F52*3</f>
        <v>0.018441880475039727</v>
      </c>
      <c r="G68" s="347">
        <f>G52*3</f>
        <v>0.018181704567922986</v>
      </c>
      <c r="H68" s="346"/>
      <c r="I68" s="347">
        <f>I52*3</f>
        <v>0.17062486074776972</v>
      </c>
      <c r="J68" s="346"/>
      <c r="K68" s="346"/>
    </row>
    <row r="69" spans="1:11" ht="17.25" customHeight="1" hidden="1">
      <c r="A69" s="293"/>
      <c r="B69" s="347" t="s">
        <v>355</v>
      </c>
      <c r="C69" s="347">
        <f>C53</f>
        <v>0.012584343267281261</v>
      </c>
      <c r="D69" s="347">
        <f>D53</f>
        <v>0.015189782078630408</v>
      </c>
      <c r="E69" s="347">
        <f>E53</f>
        <v>0.025444150269675826</v>
      </c>
      <c r="F69" s="347">
        <f>F53</f>
        <v>0.04994408596815577</v>
      </c>
      <c r="G69" s="347">
        <f>G53</f>
        <v>0.04459166795453509</v>
      </c>
      <c r="H69" s="346"/>
      <c r="I69" s="347">
        <f>I53</f>
        <v>0.025999360885575654</v>
      </c>
      <c r="J69" s="346"/>
      <c r="K69" s="346"/>
    </row>
    <row r="70" spans="1:11" ht="17.25" customHeight="1" hidden="1">
      <c r="A70" s="293"/>
      <c r="B70" s="347" t="s">
        <v>356</v>
      </c>
      <c r="C70" s="347">
        <f aca="true" t="shared" si="0" ref="C70:G71">C54*2</f>
        <v>0.026578688600265795</v>
      </c>
      <c r="D70" s="347">
        <f t="shared" si="0"/>
        <v>0.0450350512908758</v>
      </c>
      <c r="E70" s="347">
        <f t="shared" si="0"/>
        <v>0.05457540481276058</v>
      </c>
      <c r="F70" s="347">
        <f t="shared" si="0"/>
        <v>0.06251036127361291</v>
      </c>
      <c r="G70" s="347">
        <f t="shared" si="0"/>
        <v>0.06751418914904031</v>
      </c>
      <c r="H70" s="346"/>
      <c r="I70" s="347">
        <f>I54*2</f>
        <v>0.04692758092633318</v>
      </c>
      <c r="J70" s="346"/>
      <c r="K70" s="346"/>
    </row>
    <row r="71" spans="1:11" ht="17.25" customHeight="1" hidden="1">
      <c r="A71" s="293"/>
      <c r="B71" s="347" t="s">
        <v>357</v>
      </c>
      <c r="C71" s="347">
        <f t="shared" si="0"/>
        <v>0.0007512061412282873</v>
      </c>
      <c r="D71" s="347">
        <f t="shared" si="0"/>
        <v>0.0007512061412282871</v>
      </c>
      <c r="E71" s="347">
        <f t="shared" si="0"/>
        <v>0.006500822376014024</v>
      </c>
      <c r="F71" s="347">
        <f t="shared" si="0"/>
        <v>0.001591965603951503</v>
      </c>
      <c r="G71" s="347">
        <f t="shared" si="0"/>
        <v>0.0003733805672377285</v>
      </c>
      <c r="H71" s="346"/>
      <c r="I71" s="347">
        <f>I55*2</f>
        <v>0.0021699076172853344</v>
      </c>
      <c r="J71" s="346"/>
      <c r="K71" s="346"/>
    </row>
    <row r="72" spans="1:11" ht="17.25" customHeight="1" hidden="1">
      <c r="A72" s="293"/>
      <c r="B72" s="347" t="s">
        <v>358</v>
      </c>
      <c r="C72" s="347">
        <f>C56</f>
        <v>0.01719201705985314</v>
      </c>
      <c r="D72" s="347">
        <f>D56</f>
        <v>0.01719201705985314</v>
      </c>
      <c r="E72" s="347">
        <f>E56</f>
        <v>0.02108315345119684</v>
      </c>
      <c r="F72" s="347">
        <f>F56</f>
        <v>0.1263543285704232</v>
      </c>
      <c r="G72" s="347">
        <f>G56</f>
        <v>0.09814905012854065</v>
      </c>
      <c r="H72" s="346"/>
      <c r="I72" s="347">
        <f>I56</f>
        <v>0.04562646971737834</v>
      </c>
      <c r="J72" s="346"/>
      <c r="K72" s="346"/>
    </row>
    <row r="73" spans="1:11" ht="17.25" customHeight="1" hidden="1">
      <c r="A73" s="293"/>
      <c r="B73" s="347" t="s">
        <v>359</v>
      </c>
      <c r="C73" s="347">
        <f>C57*3</f>
        <v>0.015837138859418485</v>
      </c>
      <c r="D73" s="347">
        <f>D57*3</f>
        <v>0.017759121730707136</v>
      </c>
      <c r="E73" s="347">
        <f>E57*3</f>
        <v>0.5881267586143272</v>
      </c>
      <c r="F73" s="347">
        <f>F57*3</f>
        <v>1.5875271630893093</v>
      </c>
      <c r="G73" s="347">
        <f>G57*3</f>
        <v>1.8727801097836616</v>
      </c>
      <c r="H73" s="346"/>
      <c r="I73" s="347">
        <f>I57*3</f>
        <v>0.6422695840295425</v>
      </c>
      <c r="J73" s="346"/>
      <c r="K73" s="346"/>
    </row>
    <row r="74" spans="1:11" ht="17.25" customHeight="1" hidden="1">
      <c r="A74" s="293"/>
      <c r="B74" s="347" t="s">
        <v>360</v>
      </c>
      <c r="C74" s="347">
        <f aca="true" t="shared" si="1" ref="C74:G76">C58*2</f>
        <v>0.0034469529901748662</v>
      </c>
      <c r="D74" s="347">
        <f t="shared" si="1"/>
        <v>0.021374529832374672</v>
      </c>
      <c r="E74" s="347">
        <f t="shared" si="1"/>
        <v>0.0394174225868211</v>
      </c>
      <c r="F74" s="347">
        <f t="shared" si="1"/>
        <v>0.0019654105195151994</v>
      </c>
      <c r="G74" s="347">
        <f t="shared" si="1"/>
        <v>0.00011778789064059086</v>
      </c>
      <c r="H74" s="346"/>
      <c r="I74" s="347">
        <f>I58*2</f>
        <v>0.01385796412058529</v>
      </c>
      <c r="J74" s="346"/>
      <c r="K74" s="346"/>
    </row>
    <row r="75" spans="1:11" ht="21" customHeight="1" hidden="1">
      <c r="A75" s="293"/>
      <c r="B75" s="347" t="s">
        <v>361</v>
      </c>
      <c r="C75" s="347">
        <f t="shared" si="1"/>
        <v>0.9406965115012526</v>
      </c>
      <c r="D75" s="347">
        <f t="shared" si="1"/>
        <v>0.6683896265929952</v>
      </c>
      <c r="E75" s="347">
        <f t="shared" si="1"/>
        <v>0.12253809820871579</v>
      </c>
      <c r="F75" s="347">
        <f t="shared" si="1"/>
        <v>0.14704571785045895</v>
      </c>
      <c r="G75" s="347">
        <f t="shared" si="1"/>
        <v>0.07677911608042612</v>
      </c>
      <c r="H75" s="346"/>
      <c r="I75" s="347">
        <f>I59*2</f>
        <v>0.47026436736853056</v>
      </c>
      <c r="J75" s="346"/>
      <c r="K75" s="346"/>
    </row>
    <row r="76" spans="1:11" ht="19.5" customHeight="1" hidden="1">
      <c r="A76" s="293"/>
      <c r="B76" s="347" t="s">
        <v>362</v>
      </c>
      <c r="C76" s="347">
        <f t="shared" si="1"/>
        <v>0.9406965115012526</v>
      </c>
      <c r="D76" s="347">
        <f t="shared" si="1"/>
        <v>0.6683896265929952</v>
      </c>
      <c r="E76" s="347">
        <f t="shared" si="1"/>
        <v>0.12253809820871579</v>
      </c>
      <c r="F76" s="347">
        <f t="shared" si="1"/>
        <v>0.14704571785045895</v>
      </c>
      <c r="G76" s="347">
        <f t="shared" si="1"/>
        <v>0.07677911608042612</v>
      </c>
      <c r="H76" s="346"/>
      <c r="I76" s="347">
        <f>I60*2</f>
        <v>0.47026436736853056</v>
      </c>
      <c r="J76" s="346"/>
      <c r="K76" s="346"/>
    </row>
    <row r="77" spans="1:11" ht="18" customHeight="1" hidden="1">
      <c r="A77" s="293"/>
      <c r="B77" s="347" t="s">
        <v>363</v>
      </c>
      <c r="C77" s="347">
        <f>C61</f>
        <v>0.011192999092471635</v>
      </c>
      <c r="D77" s="347">
        <f>D61</f>
        <v>0.04230953656954277</v>
      </c>
      <c r="E77" s="347">
        <f>E61</f>
        <v>0.0028781997666355624</v>
      </c>
      <c r="F77" s="347">
        <f>F61</f>
        <v>0.050368495916122344</v>
      </c>
      <c r="G77" s="347">
        <f>G61</f>
        <v>0.033269037302546454</v>
      </c>
      <c r="H77" s="346"/>
      <c r="I77" s="347">
        <f>I61</f>
        <v>0.022800084682359712</v>
      </c>
      <c r="J77" s="346"/>
      <c r="K77" s="346"/>
    </row>
    <row r="78" spans="1:11" ht="18.75" customHeight="1">
      <c r="A78" s="293"/>
      <c r="B78" s="294"/>
      <c r="C78" s="294"/>
      <c r="D78" s="294"/>
      <c r="E78" s="294"/>
      <c r="F78" s="294"/>
      <c r="G78" s="294"/>
      <c r="H78" s="293"/>
      <c r="I78" s="293"/>
      <c r="J78" s="293"/>
      <c r="K78" s="293"/>
    </row>
    <row r="79" spans="1:11" ht="12.75">
      <c r="A79" s="266"/>
      <c r="B79" s="284"/>
      <c r="C79" s="295" t="s">
        <v>321</v>
      </c>
      <c r="D79" s="295" t="s">
        <v>322</v>
      </c>
      <c r="E79" s="295" t="s">
        <v>323</v>
      </c>
      <c r="F79" s="295" t="s">
        <v>324</v>
      </c>
      <c r="G79" s="295" t="s">
        <v>325</v>
      </c>
      <c r="H79" s="266"/>
      <c r="I79" s="296" t="s">
        <v>331</v>
      </c>
      <c r="J79" s="266"/>
      <c r="K79" s="297" t="s">
        <v>364</v>
      </c>
    </row>
    <row r="80" spans="1:11" ht="12.75">
      <c r="A80" s="266"/>
      <c r="B80" s="298"/>
      <c r="C80" s="283"/>
      <c r="D80" s="283"/>
      <c r="E80" s="283"/>
      <c r="F80" s="283"/>
      <c r="G80" s="283"/>
      <c r="H80" s="266"/>
      <c r="I80" s="272"/>
      <c r="J80" s="266"/>
      <c r="K80" s="299"/>
    </row>
    <row r="81" spans="1:11" ht="12.75">
      <c r="A81" s="260" t="s">
        <v>365</v>
      </c>
      <c r="B81" s="271" t="s">
        <v>366</v>
      </c>
      <c r="C81" s="281">
        <f>IF((C65+C66+C73+C74)&gt;0,(C69+C72+C68+C67+C70)/(C65+C66+C73+C74),"0")</f>
        <v>0.8598215156989168</v>
      </c>
      <c r="D81" s="281">
        <f>IF((D65+D66+D73+D74)&gt;0,(D69+D72+D68+D67+D70)/(D65+D66+D73+D74),"0")</f>
        <v>0.6493027930539665</v>
      </c>
      <c r="E81" s="281">
        <f>IF((E65+E66+E73+E74)&gt;0,(E69+E72+E68+E67+E70)/(E65+E66+E73+E74),"0")</f>
        <v>0.28806547945601246</v>
      </c>
      <c r="F81" s="281">
        <f>IF((F65+F66+F73+F74)&gt;0,(F69+F72+F68+F67+F70)/(F65+F66+F73+F74),"0")</f>
        <v>1.1279247022215795</v>
      </c>
      <c r="G81" s="281">
        <f>IF((G65+G66+G73+G74)&gt;0,(G69+G72+G68+G67+G70)/(G65+G66+G73+G74),"0")</f>
        <v>1.049896485062882</v>
      </c>
      <c r="H81" s="280"/>
      <c r="I81" s="281">
        <f>IF((I65+I66+I73+I74)&gt;0,(I69+I72+I68+I67+I70)/(I65+I66+I73+I74),"0")</f>
        <v>0.713045468351611</v>
      </c>
      <c r="J81" s="266"/>
      <c r="K81" s="300" t="s">
        <v>367</v>
      </c>
    </row>
    <row r="82" spans="1:11" ht="12.75">
      <c r="A82" s="260" t="s">
        <v>392</v>
      </c>
      <c r="B82" s="271" t="s">
        <v>368</v>
      </c>
      <c r="C82" s="281">
        <f>IF((C69+C68+C72+C67+C70)&gt;0,(C69+C72)/(C69+C68+C72+C67+C70),"0")</f>
        <v>0.07604344137495118</v>
      </c>
      <c r="D82" s="281">
        <f aca="true" t="shared" si="2" ref="D82:I82">IF((D69+D68+D72+D67+D70)&gt;0,(D69+D72)/(D69+D68+D72+D67+D70),"0")</f>
        <v>0.05011485732648072</v>
      </c>
      <c r="E82" s="281">
        <f t="shared" si="2"/>
        <v>0.07686790315300093</v>
      </c>
      <c r="F82" s="281">
        <f t="shared" si="2"/>
        <v>0.09278961838843094</v>
      </c>
      <c r="G82" s="281">
        <f t="shared" si="2"/>
        <v>0.0689256231884618</v>
      </c>
      <c r="H82" s="280"/>
      <c r="I82" s="281">
        <f t="shared" si="2"/>
        <v>0.0763841897156731</v>
      </c>
      <c r="J82" s="266"/>
      <c r="K82" s="300" t="s">
        <v>369</v>
      </c>
    </row>
    <row r="83" spans="1:11" ht="12.75">
      <c r="A83" s="260" t="s">
        <v>370</v>
      </c>
      <c r="B83" s="271" t="s">
        <v>371</v>
      </c>
      <c r="C83" s="281">
        <f>IF((C69+C72)&gt;0,(C75+C77)/(C69+C72),"0")</f>
        <v>31.967960494026286</v>
      </c>
      <c r="D83" s="281">
        <f aca="true" t="shared" si="3" ref="D83:I83">IF((D69+D72)&gt;0,(D75+D77)/(D69+D72),"0")</f>
        <v>21.9474884679252</v>
      </c>
      <c r="E83" s="281">
        <f t="shared" si="3"/>
        <v>2.695541927977404</v>
      </c>
      <c r="F83" s="281">
        <f>IF((F69+F72)&gt;0,(F75+F77)/(F69+F72),"0")</f>
        <v>1.1197730523173912</v>
      </c>
      <c r="G83" s="281">
        <f t="shared" si="3"/>
        <v>0.770965389980202</v>
      </c>
      <c r="H83" s="280"/>
      <c r="I83" s="281">
        <f t="shared" si="3"/>
        <v>6.883891577943604</v>
      </c>
      <c r="J83" s="266"/>
      <c r="K83" s="301" t="s">
        <v>372</v>
      </c>
    </row>
    <row r="84" spans="1:11" ht="12.75">
      <c r="A84" s="260" t="s">
        <v>373</v>
      </c>
      <c r="B84" s="271" t="s">
        <v>374</v>
      </c>
      <c r="C84" s="281">
        <f>IF((C72+C69)&gt;0,C72/(C72+C69),"0")</f>
        <v>0.5773713399144527</v>
      </c>
      <c r="D84" s="281">
        <f aca="true" t="shared" si="4" ref="D84:I84">IF((D72+D69)&gt;0,D72/(D72+D69),"0")</f>
        <v>0.5309160552299766</v>
      </c>
      <c r="E84" s="281">
        <f t="shared" si="4"/>
        <v>0.4531350790855887</v>
      </c>
      <c r="F84" s="281">
        <f t="shared" si="4"/>
        <v>0.7167071178780985</v>
      </c>
      <c r="G84" s="281">
        <f t="shared" si="4"/>
        <v>0.6876037296618996</v>
      </c>
      <c r="H84" s="280"/>
      <c r="I84" s="281">
        <f t="shared" si="4"/>
        <v>0.6370113872787203</v>
      </c>
      <c r="J84" s="266"/>
      <c r="K84" s="301" t="s">
        <v>375</v>
      </c>
    </row>
    <row r="85" spans="1:11" ht="12.75">
      <c r="A85" s="260" t="s">
        <v>376</v>
      </c>
      <c r="B85" s="271" t="s">
        <v>377</v>
      </c>
      <c r="C85" s="281">
        <f>IF((C67+C70)&gt;0,C67/(C67+C70),"0")</f>
        <v>0.8420957423856097</v>
      </c>
      <c r="D85" s="281">
        <f aca="true" t="shared" si="5" ref="D85:I85">IF((D67+D70)&gt;0,D67/(D67+D70),"0")</f>
        <v>0.8825028558477367</v>
      </c>
      <c r="E85" s="281">
        <f t="shared" si="5"/>
        <v>0.7986022502023963</v>
      </c>
      <c r="F85" s="281">
        <f t="shared" si="5"/>
        <v>0.9633421841451907</v>
      </c>
      <c r="G85" s="281">
        <f t="shared" si="5"/>
        <v>0.964652552212801</v>
      </c>
      <c r="H85" s="280"/>
      <c r="I85" s="281">
        <f t="shared" si="5"/>
        <v>0.932522402038797</v>
      </c>
      <c r="J85" s="266"/>
      <c r="K85" s="301" t="s">
        <v>391</v>
      </c>
    </row>
    <row r="86" spans="1:11" ht="12.75">
      <c r="A86" s="260" t="s">
        <v>378</v>
      </c>
      <c r="B86" s="271" t="s">
        <v>379</v>
      </c>
      <c r="C86" s="281">
        <f>IF(C50&gt;0,C49/C50,"0")</f>
        <v>10.120327052166456</v>
      </c>
      <c r="D86" s="281">
        <f aca="true" t="shared" si="6" ref="D86:I86">IF(D50&gt;0,D49/D50,"0")</f>
        <v>8.511930731347638</v>
      </c>
      <c r="E86" s="281">
        <f t="shared" si="6"/>
        <v>0.5133834057332824</v>
      </c>
      <c r="F86" s="281">
        <f t="shared" si="6"/>
        <v>17.73474071695233</v>
      </c>
      <c r="G86" s="281">
        <f t="shared" si="6"/>
        <v>48.02820425898957</v>
      </c>
      <c r="H86" s="280"/>
      <c r="I86" s="281">
        <f t="shared" si="6"/>
        <v>1.2773658821259788</v>
      </c>
      <c r="J86" s="266"/>
      <c r="K86" s="300" t="s">
        <v>380</v>
      </c>
    </row>
    <row r="87" spans="1:11" ht="12.75">
      <c r="A87" s="260" t="s">
        <v>381</v>
      </c>
      <c r="B87" s="271" t="s">
        <v>382</v>
      </c>
      <c r="C87" s="281">
        <f>IF((C72+C69)&gt;0,C66/(C72+C69),"0")</f>
        <v>0.6895588249131864</v>
      </c>
      <c r="D87" s="281">
        <f>IF((D72+D69)&gt;0,D66/(D72+D69),"0")</f>
        <v>1.6380045613825958</v>
      </c>
      <c r="E87" s="281">
        <f>IF((E72+E69)&gt;0,E66/(E72+E69),"0")</f>
        <v>15.62753361514018</v>
      </c>
      <c r="F87" s="281">
        <f>IF((F72+F69)&gt;0,F66/(F72+F69),"0")</f>
        <v>0.014775501481085349</v>
      </c>
      <c r="G87" s="281">
        <f>IF((G72+G69)&gt;0,G66/(G72+G69),"0")</f>
        <v>0.007190669464895717</v>
      </c>
      <c r="H87" s="280"/>
      <c r="I87" s="281">
        <f>IF((I72+I69)&gt;0,I66/(I72+I69),"0")</f>
        <v>2.588041177993039</v>
      </c>
      <c r="J87" s="266"/>
      <c r="K87" s="300" t="s">
        <v>390</v>
      </c>
    </row>
    <row r="88" spans="1:11" ht="12.75">
      <c r="A88" s="260" t="s">
        <v>383</v>
      </c>
      <c r="B88" s="271" t="s">
        <v>384</v>
      </c>
      <c r="C88" s="281">
        <f>IF(C49&gt;0,2*(C69+C72)/(3*C49),"0")</f>
        <v>0.09553068074108902</v>
      </c>
      <c r="D88" s="281">
        <f>IF(D49&gt;0,2*(D69+D72)/(3*D49),"0")</f>
        <v>0.04781515339636233</v>
      </c>
      <c r="E88" s="281">
        <f>IF(E49&gt;0,2*(E69+E72)/(3*E49),"0")</f>
        <v>0.08309530236759505</v>
      </c>
      <c r="F88" s="281">
        <f>IF(F49&gt;0,2*(F69+F72)/(3*F49),"0")</f>
        <v>2.544143875463633</v>
      </c>
      <c r="G88" s="281">
        <f>IF(G49&gt;0,2*(G69+G72)/(3*G49),"0")</f>
        <v>1.930381141082025</v>
      </c>
      <c r="H88" s="280"/>
      <c r="I88" s="281">
        <f>IF(I49&gt;0,2*(I69+I72)/(3*I49),"0")</f>
        <v>0.20166115336217286</v>
      </c>
      <c r="J88" s="266"/>
      <c r="K88" s="300" t="s">
        <v>385</v>
      </c>
    </row>
    <row r="89" spans="1:11" ht="12.75">
      <c r="A89" s="260" t="s">
        <v>386</v>
      </c>
      <c r="B89" s="302" t="s">
        <v>387</v>
      </c>
      <c r="C89" s="291">
        <f>IF(C49&gt;0,(C69+C72)/(2*C49),"0")</f>
        <v>0.07164801055581677</v>
      </c>
      <c r="D89" s="291">
        <f>IF(D49&gt;0,(D69+D72)/(2*D49),"0")</f>
        <v>0.035861365047271755</v>
      </c>
      <c r="E89" s="291">
        <f>IF(E49&gt;0,(E69+E72)/(2*E49),"0")</f>
        <v>0.062321476775696286</v>
      </c>
      <c r="F89" s="291">
        <f>IF(F49&gt;0,(F69+F72)/(2*F49),"0")</f>
        <v>1.908107906597725</v>
      </c>
      <c r="G89" s="291">
        <f>IF(G49&gt;0,(G69+G72)/(2*G49),"0")</f>
        <v>1.4477858558115189</v>
      </c>
      <c r="H89" s="280"/>
      <c r="I89" s="291">
        <f>IF(I49&gt;0,(I69+I72)/(2*I49),"0")</f>
        <v>0.15124586502162962</v>
      </c>
      <c r="J89" s="266"/>
      <c r="K89" s="303" t="s">
        <v>389</v>
      </c>
    </row>
    <row r="90" spans="1:11" ht="12.75">
      <c r="A90" s="260"/>
      <c r="B90" s="304"/>
      <c r="C90" s="292"/>
      <c r="D90" s="292"/>
      <c r="E90" s="292"/>
      <c r="F90" s="292"/>
      <c r="G90" s="292"/>
      <c r="H90" s="280"/>
      <c r="I90" s="292"/>
      <c r="J90" s="266"/>
      <c r="K90" s="305"/>
    </row>
    <row r="91" spans="1:11" ht="20.25" customHeight="1">
      <c r="A91" s="260"/>
      <c r="B91" s="314" t="s">
        <v>413</v>
      </c>
      <c r="C91" s="296" t="s">
        <v>321</v>
      </c>
      <c r="D91" s="296" t="s">
        <v>322</v>
      </c>
      <c r="E91" s="296" t="s">
        <v>323</v>
      </c>
      <c r="F91" s="296" t="s">
        <v>324</v>
      </c>
      <c r="G91" s="296" t="s">
        <v>325</v>
      </c>
      <c r="H91" s="264"/>
      <c r="I91" s="296" t="s">
        <v>331</v>
      </c>
      <c r="J91" s="266"/>
      <c r="K91" s="318"/>
    </row>
    <row r="92" spans="1:11" ht="26.25">
      <c r="A92" s="260"/>
      <c r="B92" s="306"/>
      <c r="C92" s="283"/>
      <c r="D92" s="283"/>
      <c r="E92" s="283"/>
      <c r="F92" s="283"/>
      <c r="G92" s="283"/>
      <c r="H92" s="264"/>
      <c r="I92" s="283"/>
      <c r="J92" s="266"/>
      <c r="K92" s="317" t="s">
        <v>430</v>
      </c>
    </row>
    <row r="93" spans="1:11" ht="28.5">
      <c r="A93" s="315" t="s">
        <v>414</v>
      </c>
      <c r="B93" s="316" t="s">
        <v>442</v>
      </c>
      <c r="C93" s="379">
        <f>IF(C75&gt;0,C67/C75,"0")</f>
        <v>0.15067862444985047</v>
      </c>
      <c r="D93" s="312">
        <f>IF(D75&gt;0,D67/D75,"0")</f>
        <v>0.506069040155753</v>
      </c>
      <c r="E93" s="312">
        <f>IF(E75&gt;0,E67/E75,"0")</f>
        <v>1.7660449192185914</v>
      </c>
      <c r="F93" s="377">
        <f>IF(F75&gt;0,F67/F75,"0")</f>
        <v>11.171554793133431</v>
      </c>
      <c r="G93" s="378">
        <f>IF(G75&gt;0,G67/G75,"0")</f>
        <v>23.997433902323213</v>
      </c>
      <c r="H93" s="288"/>
      <c r="I93" s="308">
        <f>I67/I75</f>
        <v>1.3790682305218172</v>
      </c>
      <c r="J93" s="266"/>
      <c r="K93" s="307" t="s">
        <v>441</v>
      </c>
    </row>
    <row r="94" spans="1:11" ht="26.25">
      <c r="A94" s="315" t="s">
        <v>415</v>
      </c>
      <c r="B94" s="316" t="s">
        <v>429</v>
      </c>
      <c r="C94" s="308">
        <f>IF(C24&gt;0,C26/C24,"0")</f>
        <v>37.99999999999999</v>
      </c>
      <c r="D94" s="308">
        <f>IF(D24&gt;0,D26/D24,"0")</f>
        <v>7.142857142857143</v>
      </c>
      <c r="E94" s="308">
        <f>IF(E24&gt;0,E26/E24,"0")</f>
        <v>19.25</v>
      </c>
      <c r="F94" s="308">
        <f>IF(F24&gt;0,F26/F24,"0")</f>
        <v>1.32</v>
      </c>
      <c r="G94" s="308">
        <f>IF(G24&gt;0,G26/G24,"0")</f>
        <v>1.0434782608695652</v>
      </c>
      <c r="H94" s="288"/>
      <c r="I94" s="308">
        <f>(I26/I24)</f>
        <v>8.794049183514648</v>
      </c>
      <c r="J94" s="309"/>
      <c r="K94" s="310" t="s">
        <v>431</v>
      </c>
    </row>
    <row r="95" spans="1:11" ht="45" customHeight="1">
      <c r="A95" s="266"/>
      <c r="B95" s="311" t="s">
        <v>450</v>
      </c>
      <c r="C95" s="293"/>
      <c r="D95" s="266"/>
      <c r="E95" s="266"/>
      <c r="F95" s="266"/>
      <c r="G95" s="266"/>
      <c r="H95" s="266"/>
      <c r="I95" s="266"/>
      <c r="J95" s="266"/>
      <c r="K95" s="266"/>
    </row>
    <row r="96" spans="1:11" ht="66">
      <c r="A96" s="266"/>
      <c r="B96" s="311" t="s">
        <v>443</v>
      </c>
      <c r="C96" s="266"/>
      <c r="D96" s="266"/>
      <c r="F96" s="266"/>
      <c r="G96" s="266"/>
      <c r="H96" s="266"/>
      <c r="I96" s="266"/>
      <c r="J96" s="266"/>
      <c r="K96" s="266"/>
    </row>
    <row r="97" spans="1:11" ht="66">
      <c r="A97" s="266"/>
      <c r="B97" s="311" t="s">
        <v>444</v>
      </c>
      <c r="C97" s="266"/>
      <c r="E97" s="266"/>
      <c r="F97" s="266"/>
      <c r="G97" s="266"/>
      <c r="H97" s="266"/>
      <c r="I97" s="266"/>
      <c r="J97" s="266"/>
      <c r="K97" s="266"/>
    </row>
    <row r="98" spans="1:11" ht="15.75">
      <c r="A98" s="260"/>
      <c r="B98" s="314" t="s">
        <v>445</v>
      </c>
      <c r="C98" s="296" t="s">
        <v>321</v>
      </c>
      <c r="D98" s="296" t="s">
        <v>322</v>
      </c>
      <c r="E98" s="296" t="s">
        <v>323</v>
      </c>
      <c r="F98" s="296" t="s">
        <v>324</v>
      </c>
      <c r="G98" s="296" t="s">
        <v>325</v>
      </c>
      <c r="H98" s="264"/>
      <c r="I98" s="296" t="s">
        <v>331</v>
      </c>
      <c r="J98" s="266"/>
      <c r="K98" s="318"/>
    </row>
    <row r="99" spans="1:11" ht="26.25">
      <c r="A99" s="260"/>
      <c r="B99" s="306"/>
      <c r="C99" s="283"/>
      <c r="D99" s="283"/>
      <c r="E99" s="283"/>
      <c r="F99" s="283"/>
      <c r="G99" s="283"/>
      <c r="H99" s="264"/>
      <c r="I99" s="283"/>
      <c r="J99" s="266"/>
      <c r="K99" s="317" t="s">
        <v>430</v>
      </c>
    </row>
    <row r="100" spans="1:11" ht="39">
      <c r="A100" s="315" t="s">
        <v>447</v>
      </c>
      <c r="B100" s="316" t="s">
        <v>448</v>
      </c>
      <c r="C100" s="312">
        <f>IF((C53+C56+1.5*C54+1.5*C51)&gt;0,C57/(C53+C56+1.5*C54+1.5*C51),"0")</f>
        <v>0.033836240431563226</v>
      </c>
      <c r="D100" s="312">
        <f>IF((D53+D56+1.5*D54+1.5*D51)&gt;0,D57/(D53+D56+1.5*D54+1.5*D51),"0")</f>
        <v>0.018507959691742383</v>
      </c>
      <c r="E100" s="312">
        <f>IF((E53+E56+1.5*E54+1.5*E51)&gt;0,E57/(E53+E56+1.5*E54+1.5*E51),"0")</f>
        <v>0.7849077772204026</v>
      </c>
      <c r="F100" s="312">
        <f>IF((F53+F56+1.5*F54+1.5*F51)&gt;0,F57/(F53+F56+1.5*F54+1.5*F51),"0")</f>
        <v>0.36363763223882273</v>
      </c>
      <c r="G100" s="312">
        <f>IF((G53+G56+1.5*G54+1.5*G51)&gt;0,G57/(G53+G56+1.5*G54+1.5*G51),"0")</f>
        <v>0.39629200037908235</v>
      </c>
      <c r="H100" s="359"/>
      <c r="I100" s="312">
        <f>IF((I53+I56+1.5*I54+1.5*I51)&gt;0,I57/(I53+I56+1.5*I54+1.5*I51),"0")</f>
        <v>0.3608966713628199</v>
      </c>
      <c r="J100" s="266"/>
      <c r="K100" s="307" t="s">
        <v>449</v>
      </c>
    </row>
    <row r="101" spans="1:11" ht="39">
      <c r="A101" s="315" t="s">
        <v>446</v>
      </c>
      <c r="B101" s="316" t="s">
        <v>453</v>
      </c>
      <c r="C101" s="308">
        <f>IF((C59+1.5*C57)&gt;0,C51/(C59+1.5*C57),"0")</f>
        <v>0.14818386820404703</v>
      </c>
      <c r="D101" s="308">
        <f>IF((D59+1.5*D57)&gt;0,D51/(D59+1.5*D57),"0")</f>
        <v>0.4929707991253282</v>
      </c>
      <c r="E101" s="308">
        <f>IF((E59+1.5*E57)&gt;0,E51/(E59+1.5*E57),"0")</f>
        <v>0.3045145453225884</v>
      </c>
      <c r="F101" s="308">
        <f>IF((F59+1.5*F57)&gt;0,F51/(F59+1.5*F57),"0")</f>
        <v>0.9470511802144815</v>
      </c>
      <c r="G101" s="308">
        <f>IF((G59+1.5*G57)&gt;0,G51/(G59+1.5*G57),"0")</f>
        <v>0.9450863245266066</v>
      </c>
      <c r="H101" s="360"/>
      <c r="I101" s="308">
        <f>IF((I59+1.5*I57)&gt;0,I51/(I59+1.5*I57),"0")</f>
        <v>0.5829275126115531</v>
      </c>
      <c r="J101" s="309"/>
      <c r="K101" s="310" t="s">
        <v>441</v>
      </c>
    </row>
    <row r="102" ht="39">
      <c r="B102" s="311" t="s">
        <v>450</v>
      </c>
    </row>
    <row r="103" ht="66">
      <c r="B103" s="311" t="s">
        <v>451</v>
      </c>
    </row>
    <row r="104" ht="66">
      <c r="B104" s="311" t="s">
        <v>452</v>
      </c>
    </row>
  </sheetData>
  <sheetProtection/>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Larsson</dc:creator>
  <cp:keywords/>
  <dc:description/>
  <cp:lastModifiedBy>Solvie Herstad Svärd</cp:lastModifiedBy>
  <cp:lastPrinted>2005-02-25T07:57:40Z</cp:lastPrinted>
  <dcterms:created xsi:type="dcterms:W3CDTF">2004-06-15T11:02:50Z</dcterms:created>
  <dcterms:modified xsi:type="dcterms:W3CDTF">2011-12-09T10:28:37Z</dcterms:modified>
  <cp:category/>
  <cp:version/>
  <cp:contentType/>
  <cp:contentStatus/>
</cp:coreProperties>
</file>